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tables/table2.xml" ContentType="application/vnd.openxmlformats-officedocument.spreadsheetml.table+xml"/>
  <Override PartName="/xl/comments3.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I:\Dept\FRU\SHARED\MATRIX\FORMS\2023\"/>
    </mc:Choice>
  </mc:AlternateContent>
  <xr:revisionPtr revIDLastSave="0" documentId="13_ncr:1_{31086967-33D2-42D8-8AA0-348632562039}" xr6:coauthVersionLast="47" xr6:coauthVersionMax="47" xr10:uidLastSave="{00000000-0000-0000-0000-000000000000}"/>
  <bookViews>
    <workbookView xWindow="900" yWindow="510" windowWidth="23340" windowHeight="14640" tabRatio="684" activeTab="1" xr2:uid="{00000000-000D-0000-FFFF-FFFF00000000}"/>
  </bookViews>
  <sheets>
    <sheet name="Process Flow" sheetId="12" r:id="rId1"/>
    <sheet name="Agency Cover" sheetId="5" r:id="rId2"/>
    <sheet name="Instructions" sheetId="14" r:id="rId3"/>
    <sheet name="Multi-Record Entries" sheetId="15" r:id="rId4"/>
    <sheet name="Base Information" sheetId="6" r:id="rId5"/>
    <sheet name="Excluded Leases" sheetId="16" r:id="rId6"/>
    <sheet name="Examples" sheetId="17" r:id="rId7"/>
    <sheet name="Ref-Entity" sheetId="2" state="hidden" r:id="rId8"/>
    <sheet name="Ref-AgrmtType" sheetId="3" state="hidden" r:id="rId9"/>
    <sheet name="Ref-ProvType" sheetId="4" state="hidden" r:id="rId10"/>
    <sheet name="Ref-Status" sheetId="7" state="hidden" r:id="rId11"/>
    <sheet name="Ref-RptType" sheetId="8" state="hidden" r:id="rId12"/>
    <sheet name="Ref-RptCategory" sheetId="9" state="hidden" r:id="rId13"/>
    <sheet name="Ref-AmortMethod" sheetId="10" state="hidden" r:id="rId14"/>
    <sheet name="Ref_GLAccounts" sheetId="11" state="hidden" r:id="rId15"/>
  </sheets>
  <definedNames>
    <definedName name="_xlnm._FilterDatabase" localSheetId="2" hidden="1">Instructions!$A$2:$E$66</definedName>
    <definedName name="AgrmtStatusLU">StatusRef[Description (50)]</definedName>
    <definedName name="AgrmtTypeLU">AgrmtTypeRef[Description (50)]</definedName>
    <definedName name="GLAccountLU">GLAccountRef[CodeDescr]</definedName>
    <definedName name="ProvTypeLU">ProvTypeRef[Description (50)]</definedName>
    <definedName name="RptCatLU">RptCategoryRef[FSNoteCategory (50)]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1" i="2" l="1"/>
  <c r="D81" i="2"/>
  <c r="C18" i="2"/>
  <c r="D18" i="2"/>
  <c r="Y7" i="6"/>
  <c r="Y6" i="6"/>
  <c r="B7" i="17" l="1"/>
  <c r="B8" i="17"/>
  <c r="B11" i="17"/>
  <c r="B12" i="17"/>
  <c r="B13" i="17"/>
  <c r="B14" i="17"/>
  <c r="B15" i="17"/>
  <c r="B18" i="17"/>
  <c r="B19" i="17"/>
  <c r="B20" i="17"/>
  <c r="B23" i="17"/>
  <c r="B24" i="17"/>
  <c r="B25" i="17"/>
  <c r="B26" i="17"/>
  <c r="B27" i="17"/>
  <c r="B28" i="17"/>
  <c r="B29" i="17"/>
  <c r="B30" i="17"/>
  <c r="B31" i="17"/>
  <c r="B32" i="17"/>
  <c r="AN3" i="17"/>
  <c r="AM3" i="17"/>
  <c r="AI32" i="17" a="1"/>
  <c r="AI32" i="17" s="1"/>
  <c r="AJ32" i="17" s="1"/>
  <c r="AB32" i="17"/>
  <c r="Y32" i="17"/>
  <c r="W32" i="17"/>
  <c r="Z32" i="17" s="1"/>
  <c r="V32" i="17"/>
  <c r="U32" i="17"/>
  <c r="T32" i="17"/>
  <c r="S32" i="17"/>
  <c r="G32" i="17"/>
  <c r="E32" i="17"/>
  <c r="AI31" i="17" a="1"/>
  <c r="AI31" i="17" s="1"/>
  <c r="AJ31" i="17" s="1"/>
  <c r="AB31" i="17"/>
  <c r="Z31" i="17"/>
  <c r="T31" i="17"/>
  <c r="S31" i="17"/>
  <c r="G31" i="17"/>
  <c r="E31" i="17"/>
  <c r="AI30" i="17" a="1"/>
  <c r="AI30" i="17" s="1"/>
  <c r="AB30" i="17"/>
  <c r="Y30" i="17"/>
  <c r="W30" i="17"/>
  <c r="Z30" i="17" s="1"/>
  <c r="T30" i="17"/>
  <c r="S30" i="17"/>
  <c r="G30" i="17"/>
  <c r="E30" i="17"/>
  <c r="AI29" i="17" a="1"/>
  <c r="AI29" i="17" s="1"/>
  <c r="AB29" i="17"/>
  <c r="Z29" i="17"/>
  <c r="Y29" i="17"/>
  <c r="W29" i="17"/>
  <c r="T29" i="17"/>
  <c r="S29" i="17"/>
  <c r="G29" i="17"/>
  <c r="E29" i="17"/>
  <c r="AI28" i="17" a="1"/>
  <c r="AI28" i="17" s="1"/>
  <c r="AJ28" i="17" s="1"/>
  <c r="AB28" i="17"/>
  <c r="Z28" i="17"/>
  <c r="Y28" i="17"/>
  <c r="T28" i="17"/>
  <c r="AK28" i="17" s="1"/>
  <c r="S28" i="17"/>
  <c r="G28" i="17"/>
  <c r="E28" i="17"/>
  <c r="AI27" i="17"/>
  <c r="AJ27" i="17" s="1"/>
  <c r="AI27" i="17" a="1"/>
  <c r="AB27" i="17"/>
  <c r="Z27" i="17"/>
  <c r="Y27" i="17"/>
  <c r="T27" i="17"/>
  <c r="AK27" i="17" s="1"/>
  <c r="S27" i="17"/>
  <c r="G27" i="17"/>
  <c r="E27" i="17"/>
  <c r="AI26" i="17" a="1"/>
  <c r="AI26" i="17" s="1"/>
  <c r="AB26" i="17"/>
  <c r="Z26" i="17"/>
  <c r="Y26" i="17"/>
  <c r="T26" i="17"/>
  <c r="S26" i="17"/>
  <c r="G26" i="17"/>
  <c r="E26" i="17"/>
  <c r="AI25" i="17" a="1"/>
  <c r="AI25" i="17" s="1"/>
  <c r="AJ25" i="17" s="1"/>
  <c r="AB25" i="17"/>
  <c r="Y25" i="17"/>
  <c r="W25" i="17"/>
  <c r="Z25" i="17" s="1"/>
  <c r="T25" i="17"/>
  <c r="AK25" i="17" s="1"/>
  <c r="S25" i="17"/>
  <c r="G25" i="17"/>
  <c r="E25" i="17"/>
  <c r="AI24" i="17" a="1"/>
  <c r="AI24" i="17" s="1"/>
  <c r="AJ24" i="17" s="1"/>
  <c r="AB24" i="17"/>
  <c r="Y24" i="17"/>
  <c r="W24" i="17"/>
  <c r="Z24" i="17" s="1"/>
  <c r="T24" i="17"/>
  <c r="AL24" i="17" s="1"/>
  <c r="S24" i="17"/>
  <c r="G24" i="17"/>
  <c r="E24" i="17"/>
  <c r="AI23" i="17"/>
  <c r="AJ23" i="17" s="1"/>
  <c r="AI23" i="17" a="1"/>
  <c r="AB23" i="17"/>
  <c r="Y23" i="17"/>
  <c r="W23" i="17"/>
  <c r="Z23" i="17" s="1"/>
  <c r="T23" i="17"/>
  <c r="S23" i="17"/>
  <c r="G23" i="17"/>
  <c r="E23" i="17"/>
  <c r="AI22" i="17" a="1"/>
  <c r="AI22" i="17" s="1"/>
  <c r="AB22" i="17"/>
  <c r="Z22" i="17"/>
  <c r="Y22" i="17"/>
  <c r="AI21" i="17" a="1"/>
  <c r="AI21" i="17" s="1"/>
  <c r="AB21" i="17"/>
  <c r="Z21" i="17"/>
  <c r="Y21" i="17"/>
  <c r="AI20" i="17" a="1"/>
  <c r="AI20" i="17" s="1"/>
  <c r="AJ20" i="17" s="1"/>
  <c r="AB20" i="17"/>
  <c r="Y20" i="17"/>
  <c r="W20" i="17"/>
  <c r="Z20" i="17" s="1"/>
  <c r="V20" i="17"/>
  <c r="U20" i="17"/>
  <c r="T20" i="17"/>
  <c r="AL20" i="17" s="1"/>
  <c r="S20" i="17"/>
  <c r="G20" i="17"/>
  <c r="E20" i="17"/>
  <c r="AI19" i="17" a="1"/>
  <c r="AI19" i="17" s="1"/>
  <c r="AJ19" i="17" s="1"/>
  <c r="AB19" i="17"/>
  <c r="Y19" i="17"/>
  <c r="W19" i="17"/>
  <c r="Z19" i="17" s="1"/>
  <c r="V19" i="17"/>
  <c r="U19" i="17"/>
  <c r="T19" i="17"/>
  <c r="AL19" i="17" s="1"/>
  <c r="S19" i="17"/>
  <c r="G19" i="17"/>
  <c r="E19" i="17"/>
  <c r="AK18" i="17"/>
  <c r="AI18" i="17" a="1"/>
  <c r="AI18" i="17" s="1"/>
  <c r="AJ18" i="17" s="1"/>
  <c r="AB18" i="17"/>
  <c r="Y18" i="17"/>
  <c r="W18" i="17"/>
  <c r="Z18" i="17" s="1"/>
  <c r="V18" i="17"/>
  <c r="U18" i="17"/>
  <c r="T18" i="17"/>
  <c r="AL18" i="17" s="1"/>
  <c r="S18" i="17"/>
  <c r="G18" i="17"/>
  <c r="E18" i="17"/>
  <c r="AI17" i="17" a="1"/>
  <c r="AI17" i="17" s="1"/>
  <c r="AK17" i="17" s="1"/>
  <c r="AM17" i="17" s="1"/>
  <c r="AB17" i="17"/>
  <c r="Z17" i="17"/>
  <c r="Y17" i="17"/>
  <c r="AI16" i="17" a="1"/>
  <c r="AI16" i="17" s="1"/>
  <c r="AB16" i="17"/>
  <c r="Z16" i="17"/>
  <c r="Y16" i="17"/>
  <c r="AI15" i="17" a="1"/>
  <c r="AI15" i="17" s="1"/>
  <c r="AB15" i="17"/>
  <c r="Y15" i="17"/>
  <c r="W15" i="17"/>
  <c r="Z15" i="17" s="1"/>
  <c r="T15" i="17"/>
  <c r="S15" i="17"/>
  <c r="G15" i="17"/>
  <c r="E15" i="17"/>
  <c r="AI14" i="17"/>
  <c r="AJ14" i="17" s="1"/>
  <c r="AI14" i="17" a="1"/>
  <c r="AB14" i="17"/>
  <c r="Y14" i="17"/>
  <c r="W14" i="17"/>
  <c r="Z14" i="17" s="1"/>
  <c r="T14" i="17"/>
  <c r="AK14" i="17" s="1"/>
  <c r="S14" i="17"/>
  <c r="G14" i="17"/>
  <c r="E14" i="17"/>
  <c r="AI13" i="17" a="1"/>
  <c r="AI13" i="17" s="1"/>
  <c r="AJ13" i="17" s="1"/>
  <c r="AB13" i="17"/>
  <c r="Z13" i="17"/>
  <c r="T13" i="17"/>
  <c r="S13" i="17"/>
  <c r="G13" i="17"/>
  <c r="E13" i="17"/>
  <c r="AI12" i="17" a="1"/>
  <c r="AI12" i="17" s="1"/>
  <c r="AB12" i="17"/>
  <c r="Y12" i="17"/>
  <c r="W12" i="17"/>
  <c r="Z12" i="17" s="1"/>
  <c r="T12" i="17"/>
  <c r="S12" i="17"/>
  <c r="G12" i="17"/>
  <c r="E12" i="17"/>
  <c r="AI11" i="17" a="1"/>
  <c r="AI11" i="17" s="1"/>
  <c r="AJ11" i="17" s="1"/>
  <c r="AB11" i="17"/>
  <c r="Z11" i="17"/>
  <c r="Y11" i="17"/>
  <c r="T11" i="17"/>
  <c r="S11" i="17"/>
  <c r="G11" i="17"/>
  <c r="E11" i="17"/>
  <c r="AI10" i="17" a="1"/>
  <c r="AI10" i="17" s="1"/>
  <c r="AB10" i="17"/>
  <c r="Z10" i="17"/>
  <c r="Y10" i="17"/>
  <c r="AH9" i="17"/>
  <c r="AI9" i="17" s="1" a="1"/>
  <c r="AI9" i="17" s="1"/>
  <c r="AB9" i="17"/>
  <c r="Z9" i="17"/>
  <c r="Y9" i="17"/>
  <c r="AH8" i="17"/>
  <c r="AI8" i="17" s="1" a="1"/>
  <c r="AI8" i="17" s="1"/>
  <c r="AJ8" i="17" s="1"/>
  <c r="AB8" i="17"/>
  <c r="Y8" i="17"/>
  <c r="W8" i="17"/>
  <c r="Z8" i="17" s="1"/>
  <c r="V8" i="17"/>
  <c r="U8" i="17"/>
  <c r="T8" i="17"/>
  <c r="S8" i="17"/>
  <c r="G8" i="17"/>
  <c r="E8" i="17"/>
  <c r="AH7" i="17"/>
  <c r="AI7" i="17" s="1" a="1"/>
  <c r="AI7" i="17" s="1"/>
  <c r="AB7" i="17"/>
  <c r="Y7" i="17"/>
  <c r="W7" i="17"/>
  <c r="Z7" i="17" s="1"/>
  <c r="V7" i="17"/>
  <c r="V3" i="17" s="1"/>
  <c r="U7" i="17"/>
  <c r="T7" i="17"/>
  <c r="S7" i="17"/>
  <c r="G7" i="17"/>
  <c r="E7" i="17"/>
  <c r="AH6" i="17"/>
  <c r="AH3" i="17" s="1"/>
  <c r="AB6" i="17"/>
  <c r="Z6" i="17"/>
  <c r="Y6" i="17"/>
  <c r="AG3" i="17"/>
  <c r="AF3" i="17"/>
  <c r="AE3" i="17"/>
  <c r="AD3" i="17"/>
  <c r="AC3" i="17"/>
  <c r="AA3" i="17"/>
  <c r="M3" i="17"/>
  <c r="L3" i="17"/>
  <c r="K3" i="17"/>
  <c r="J3" i="17"/>
  <c r="I3" i="17"/>
  <c r="F3" i="17"/>
  <c r="E3" i="17"/>
  <c r="D3" i="17"/>
  <c r="C3" i="17"/>
  <c r="AW2" i="17"/>
  <c r="AV2" i="17"/>
  <c r="AU2" i="17"/>
  <c r="AT2" i="17"/>
  <c r="AS2" i="17"/>
  <c r="AR2" i="17"/>
  <c r="AM12" i="17" l="1"/>
  <c r="AM26" i="17"/>
  <c r="AM32" i="17"/>
  <c r="AM28" i="17"/>
  <c r="G3" i="17"/>
  <c r="AM27" i="17"/>
  <c r="AM20" i="17"/>
  <c r="AM14" i="17"/>
  <c r="AB3" i="17"/>
  <c r="AM25" i="17"/>
  <c r="AM19" i="17"/>
  <c r="AM24" i="17"/>
  <c r="AM18" i="17"/>
  <c r="W3" i="17"/>
  <c r="Y3" i="17"/>
  <c r="S3" i="17"/>
  <c r="U3" i="17"/>
  <c r="Z3" i="17"/>
  <c r="AK20" i="17"/>
  <c r="AL27" i="17"/>
  <c r="AK12" i="17"/>
  <c r="AJ12" i="17"/>
  <c r="AJ7" i="17"/>
  <c r="AK7" i="17"/>
  <c r="AM7" i="17" s="1"/>
  <c r="AK22" i="17"/>
  <c r="AM22" i="17" s="1"/>
  <c r="AJ22" i="17"/>
  <c r="AL22" i="17" s="1"/>
  <c r="AJ10" i="17"/>
  <c r="AK10" i="17"/>
  <c r="AM10" i="17" s="1"/>
  <c r="AK30" i="17"/>
  <c r="AM30" i="17" s="1"/>
  <c r="AJ30" i="17"/>
  <c r="AL30" i="17" s="1"/>
  <c r="AK26" i="17"/>
  <c r="AJ26" i="17"/>
  <c r="AK16" i="17"/>
  <c r="AM16" i="17" s="1"/>
  <c r="AJ16" i="17"/>
  <c r="AK9" i="17"/>
  <c r="AM9" i="17" s="1"/>
  <c r="AJ9" i="17"/>
  <c r="AK15" i="17"/>
  <c r="AM15" i="17" s="1"/>
  <c r="AJ15" i="17"/>
  <c r="AL15" i="17" s="1"/>
  <c r="AK21" i="17"/>
  <c r="AM21" i="17" s="1"/>
  <c r="AJ21" i="17"/>
  <c r="AK31" i="17"/>
  <c r="AM31" i="17" s="1"/>
  <c r="AL14" i="17"/>
  <c r="AK29" i="17"/>
  <c r="AM29" i="17" s="1"/>
  <c r="AJ29" i="17"/>
  <c r="AI6" i="17" a="1"/>
  <c r="AI6" i="17" s="1"/>
  <c r="AJ17" i="17"/>
  <c r="AL17" i="17" s="1"/>
  <c r="AK24" i="17"/>
  <c r="AL25" i="17"/>
  <c r="AL28" i="17"/>
  <c r="AK8" i="17"/>
  <c r="AM8" i="17" s="1"/>
  <c r="AK23" i="17"/>
  <c r="AM23" i="17" s="1"/>
  <c r="AK32" i="17"/>
  <c r="AK13" i="17"/>
  <c r="AM13" i="17" s="1"/>
  <c r="T3" i="17"/>
  <c r="AK11" i="17"/>
  <c r="AM11" i="17" s="1"/>
  <c r="AK19" i="17"/>
  <c r="AL7" i="17" l="1"/>
  <c r="AL10" i="17"/>
  <c r="AL11" i="17"/>
  <c r="AL8" i="17"/>
  <c r="AL16" i="17"/>
  <c r="AL32" i="17"/>
  <c r="AK6" i="17"/>
  <c r="AM6" i="17" s="1"/>
  <c r="AJ6" i="17"/>
  <c r="AL23" i="17"/>
  <c r="AL29" i="17"/>
  <c r="AL21" i="17"/>
  <c r="AL9" i="17"/>
  <c r="AL13" i="17"/>
  <c r="AL31" i="17"/>
  <c r="AL12" i="17"/>
  <c r="AL26" i="17"/>
  <c r="AL6" i="17" l="1"/>
  <c r="AH6" i="6" l="1"/>
  <c r="AH7" i="6"/>
  <c r="AH8" i="6"/>
  <c r="AH9" i="6"/>
  <c r="AH10" i="6"/>
  <c r="AH11" i="6"/>
  <c r="AH12" i="6"/>
  <c r="AH13" i="6"/>
  <c r="AH14" i="6"/>
  <c r="AH15" i="6"/>
  <c r="AH16" i="6"/>
  <c r="AH17" i="6"/>
  <c r="AH18" i="6"/>
  <c r="AH19" i="6"/>
  <c r="AH20" i="6"/>
  <c r="AH21" i="6"/>
  <c r="AH22" i="6"/>
  <c r="AH23" i="6"/>
  <c r="AH24" i="6"/>
  <c r="AH25" i="6"/>
  <c r="AH26" i="6"/>
  <c r="AH27" i="6"/>
  <c r="AH28" i="6"/>
  <c r="AH29" i="6"/>
  <c r="AH30" i="6"/>
  <c r="AH31" i="6"/>
  <c r="AH32" i="6"/>
  <c r="AH33" i="6"/>
  <c r="AH34" i="6"/>
  <c r="AH35" i="6"/>
  <c r="AH36" i="6"/>
  <c r="AH37" i="6"/>
  <c r="AH38" i="6"/>
  <c r="AH39" i="6"/>
  <c r="AH40" i="6"/>
  <c r="AH41" i="6"/>
  <c r="AH42" i="6"/>
  <c r="AH43" i="6"/>
  <c r="AH44" i="6"/>
  <c r="AH45" i="6"/>
  <c r="AH46" i="6"/>
  <c r="AH47" i="6"/>
  <c r="AH48" i="6"/>
  <c r="AH49" i="6"/>
  <c r="AH50" i="6"/>
  <c r="AH51" i="6"/>
  <c r="AH52" i="6"/>
  <c r="AH53" i="6"/>
  <c r="AI13" i="6" l="1" a="1"/>
  <c r="AI13" i="6" s="1"/>
  <c r="AB13" i="6"/>
  <c r="AI12" i="6" a="1"/>
  <c r="AI12" i="6" s="1"/>
  <c r="AB12" i="6"/>
  <c r="AI11" i="6" a="1"/>
  <c r="AI11" i="6" s="1"/>
  <c r="AB11" i="6"/>
  <c r="AI10" i="6" a="1"/>
  <c r="AI10" i="6" s="1"/>
  <c r="AB10" i="6"/>
  <c r="AI9" i="6" a="1"/>
  <c r="AI9" i="6" s="1"/>
  <c r="AB9" i="6"/>
  <c r="AI8" i="6" a="1"/>
  <c r="AI8" i="6" s="1"/>
  <c r="AB8" i="6"/>
  <c r="AI7" i="6" a="1"/>
  <c r="AI7" i="6" s="1"/>
  <c r="AB7" i="6"/>
  <c r="AI6" i="6" a="1"/>
  <c r="AI6" i="6" s="1"/>
  <c r="AB6" i="6"/>
  <c r="AJ12" i="6" l="1"/>
  <c r="AJ7" i="6"/>
  <c r="AJ11" i="6"/>
  <c r="AJ6" i="6"/>
  <c r="AJ10" i="6"/>
  <c r="AJ8" i="6"/>
  <c r="AJ9" i="6"/>
  <c r="AJ13" i="6"/>
  <c r="T6" i="6"/>
  <c r="T7" i="6"/>
  <c r="T8" i="6"/>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A100" i="16"/>
  <c r="A99" i="16"/>
  <c r="A98" i="16"/>
  <c r="A97" i="16"/>
  <c r="A96" i="16"/>
  <c r="A95" i="16"/>
  <c r="A94" i="16"/>
  <c r="A93" i="16"/>
  <c r="A92" i="16"/>
  <c r="A91" i="16"/>
  <c r="A90" i="16"/>
  <c r="A89" i="16"/>
  <c r="A88" i="16"/>
  <c r="A87" i="16"/>
  <c r="A86" i="16"/>
  <c r="A85" i="16"/>
  <c r="A84" i="16"/>
  <c r="A83" i="16"/>
  <c r="A82" i="16"/>
  <c r="A81" i="16"/>
  <c r="A80" i="16"/>
  <c r="A79" i="16"/>
  <c r="A78" i="16"/>
  <c r="A77" i="16"/>
  <c r="A76" i="16"/>
  <c r="A75" i="16"/>
  <c r="A74" i="16"/>
  <c r="A73" i="16"/>
  <c r="A72" i="16"/>
  <c r="A71" i="16"/>
  <c r="A70" i="16"/>
  <c r="A69" i="16"/>
  <c r="A68" i="16"/>
  <c r="A67" i="16"/>
  <c r="A66" i="16"/>
  <c r="A65" i="16"/>
  <c r="A64" i="16"/>
  <c r="A63" i="16"/>
  <c r="A62" i="16"/>
  <c r="A61" i="16"/>
  <c r="A60" i="16"/>
  <c r="A59" i="16"/>
  <c r="A58" i="16"/>
  <c r="A57" i="16"/>
  <c r="A56" i="16"/>
  <c r="A55" i="16"/>
  <c r="A54" i="16"/>
  <c r="A53" i="16"/>
  <c r="A52" i="16"/>
  <c r="A51" i="16"/>
  <c r="A50" i="16"/>
  <c r="A49" i="16"/>
  <c r="A48" i="16"/>
  <c r="A47" i="16"/>
  <c r="A46" i="16"/>
  <c r="A45" i="16"/>
  <c r="A44" i="16"/>
  <c r="A43" i="16"/>
  <c r="A42" i="16"/>
  <c r="A41" i="16"/>
  <c r="A40" i="16"/>
  <c r="A39" i="16"/>
  <c r="A38" i="16"/>
  <c r="A37" i="16"/>
  <c r="A36" i="16"/>
  <c r="A35" i="16"/>
  <c r="A34" i="16"/>
  <c r="A33" i="16"/>
  <c r="A32" i="16"/>
  <c r="A31" i="16"/>
  <c r="A30" i="16"/>
  <c r="A29" i="16"/>
  <c r="A28" i="16"/>
  <c r="A27" i="16"/>
  <c r="A26" i="16"/>
  <c r="A25" i="16"/>
  <c r="A24" i="16"/>
  <c r="A23" i="16"/>
  <c r="A22" i="16"/>
  <c r="A21" i="16"/>
  <c r="A20" i="16"/>
  <c r="A19" i="16"/>
  <c r="A18" i="16"/>
  <c r="A17" i="16"/>
  <c r="A16" i="16"/>
  <c r="A15" i="16"/>
  <c r="A14" i="16"/>
  <c r="A13" i="16"/>
  <c r="A12" i="16"/>
  <c r="A11" i="16"/>
  <c r="A10" i="16"/>
  <c r="A9" i="16"/>
  <c r="A8" i="16"/>
  <c r="A7" i="16"/>
  <c r="A6" i="16"/>
  <c r="A5" i="16"/>
  <c r="A4" i="16"/>
  <c r="T3" i="6"/>
  <c r="D3" i="6"/>
  <c r="AW2" i="6"/>
  <c r="AV2" i="6"/>
  <c r="AU2" i="6"/>
  <c r="AT2" i="6"/>
  <c r="AS2" i="6"/>
  <c r="AR2" i="6"/>
  <c r="AK9" i="6" l="1"/>
  <c r="AM9" i="6" s="1"/>
  <c r="AK8" i="6"/>
  <c r="AL8" i="6" s="1"/>
  <c r="AM8" i="6"/>
  <c r="AK13" i="6"/>
  <c r="AL13" i="6" s="1"/>
  <c r="AK7" i="6"/>
  <c r="AL7" i="6" s="1"/>
  <c r="AK12" i="6"/>
  <c r="AM12" i="6" s="1"/>
  <c r="AK6" i="6"/>
  <c r="AM6" i="6" s="1"/>
  <c r="AK11" i="6"/>
  <c r="AL11" i="6" s="1"/>
  <c r="AK10" i="6"/>
  <c r="AM10" i="6" s="1"/>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AM11" i="6" l="1"/>
  <c r="AM7" i="6"/>
  <c r="AL10" i="6"/>
  <c r="AL9" i="6"/>
  <c r="AL6" i="6"/>
  <c r="AM13" i="6"/>
  <c r="AL12" i="6"/>
  <c r="Y10" i="6"/>
  <c r="Y9" i="6"/>
  <c r="Y8" i="6"/>
  <c r="AI53" i="6" a="1"/>
  <c r="AI53" i="6" s="1"/>
  <c r="AK53" i="6" s="1"/>
  <c r="AM53" i="6" s="1"/>
  <c r="AB53" i="6"/>
  <c r="Y53" i="6"/>
  <c r="W53" i="6"/>
  <c r="Z53" i="6" s="1"/>
  <c r="V53" i="6"/>
  <c r="U53" i="6"/>
  <c r="S53" i="6"/>
  <c r="G53" i="6"/>
  <c r="E53" i="6"/>
  <c r="AI52" i="6" a="1"/>
  <c r="AI52" i="6" s="1"/>
  <c r="AB52" i="6"/>
  <c r="Y52" i="6"/>
  <c r="W52" i="6"/>
  <c r="Z52" i="6" s="1"/>
  <c r="V52" i="6"/>
  <c r="U52" i="6"/>
  <c r="S52" i="6"/>
  <c r="G52" i="6"/>
  <c r="E52" i="6"/>
  <c r="AI51" i="6" a="1"/>
  <c r="AI51" i="6" s="1"/>
  <c r="AK51" i="6" s="1"/>
  <c r="AM51" i="6" s="1"/>
  <c r="AB51" i="6"/>
  <c r="Y51" i="6"/>
  <c r="W51" i="6"/>
  <c r="Z51" i="6" s="1"/>
  <c r="V51" i="6"/>
  <c r="U51" i="6"/>
  <c r="S51" i="6"/>
  <c r="G51" i="6"/>
  <c r="E51" i="6"/>
  <c r="AI50" i="6" a="1"/>
  <c r="AI50" i="6" s="1"/>
  <c r="AK50" i="6" s="1"/>
  <c r="AM50" i="6" s="1"/>
  <c r="AB50" i="6"/>
  <c r="Y50" i="6"/>
  <c r="W50" i="6"/>
  <c r="Z50" i="6" s="1"/>
  <c r="V50" i="6"/>
  <c r="U50" i="6"/>
  <c r="S50" i="6"/>
  <c r="G50" i="6"/>
  <c r="E50" i="6"/>
  <c r="AI49" i="6" a="1"/>
  <c r="AI49" i="6" s="1"/>
  <c r="AB49" i="6"/>
  <c r="Y49" i="6"/>
  <c r="W49" i="6"/>
  <c r="Z49" i="6" s="1"/>
  <c r="V49" i="6"/>
  <c r="U49" i="6"/>
  <c r="S49" i="6"/>
  <c r="G49" i="6"/>
  <c r="E49" i="6"/>
  <c r="AI48" i="6" a="1"/>
  <c r="AI48" i="6" s="1"/>
  <c r="AK48" i="6" s="1"/>
  <c r="AM48" i="6" s="1"/>
  <c r="AB48" i="6"/>
  <c r="Y48" i="6"/>
  <c r="W48" i="6"/>
  <c r="Z48" i="6" s="1"/>
  <c r="V48" i="6"/>
  <c r="U48" i="6"/>
  <c r="S48" i="6"/>
  <c r="G48" i="6"/>
  <c r="E48" i="6"/>
  <c r="AI47" i="6" a="1"/>
  <c r="AI47" i="6" s="1"/>
  <c r="AK47" i="6" s="1"/>
  <c r="AM47" i="6" s="1"/>
  <c r="AB47" i="6"/>
  <c r="Y47" i="6"/>
  <c r="W47" i="6"/>
  <c r="Z47" i="6" s="1"/>
  <c r="V47" i="6"/>
  <c r="U47" i="6"/>
  <c r="S47" i="6"/>
  <c r="G47" i="6"/>
  <c r="E47" i="6"/>
  <c r="AI46" i="6" a="1"/>
  <c r="AI46" i="6" s="1"/>
  <c r="AK46" i="6" s="1"/>
  <c r="AM46" i="6" s="1"/>
  <c r="AB46" i="6"/>
  <c r="Y46" i="6"/>
  <c r="W46" i="6"/>
  <c r="Z46" i="6" s="1"/>
  <c r="V46" i="6"/>
  <c r="U46" i="6"/>
  <c r="S46" i="6"/>
  <c r="G46" i="6"/>
  <c r="E46" i="6"/>
  <c r="AI45" i="6" a="1"/>
  <c r="AI45" i="6" s="1"/>
  <c r="AK45" i="6" s="1"/>
  <c r="AM45" i="6" s="1"/>
  <c r="AB45" i="6"/>
  <c r="Y45" i="6"/>
  <c r="W45" i="6"/>
  <c r="Z45" i="6" s="1"/>
  <c r="V45" i="6"/>
  <c r="U45" i="6"/>
  <c r="S45" i="6"/>
  <c r="G45" i="6"/>
  <c r="E45" i="6"/>
  <c r="AI44" i="6" a="1"/>
  <c r="AI44" i="6" s="1"/>
  <c r="AK44" i="6" s="1"/>
  <c r="AM44" i="6" s="1"/>
  <c r="AB44" i="6"/>
  <c r="Y44" i="6"/>
  <c r="W44" i="6"/>
  <c r="Z44" i="6" s="1"/>
  <c r="V44" i="6"/>
  <c r="U44" i="6"/>
  <c r="S44" i="6"/>
  <c r="G44" i="6"/>
  <c r="E44" i="6"/>
  <c r="AI43" i="6" a="1"/>
  <c r="AI43" i="6" s="1"/>
  <c r="AK43" i="6" s="1"/>
  <c r="AM43" i="6" s="1"/>
  <c r="AB43" i="6"/>
  <c r="Y43" i="6"/>
  <c r="W43" i="6"/>
  <c r="Z43" i="6" s="1"/>
  <c r="V43" i="6"/>
  <c r="U43" i="6"/>
  <c r="S43" i="6"/>
  <c r="G43" i="6"/>
  <c r="E43" i="6"/>
  <c r="AI42" i="6" a="1"/>
  <c r="AI42" i="6" s="1"/>
  <c r="AK42" i="6" s="1"/>
  <c r="AM42" i="6" s="1"/>
  <c r="AB42" i="6"/>
  <c r="Y42" i="6"/>
  <c r="W42" i="6"/>
  <c r="Z42" i="6" s="1"/>
  <c r="V42" i="6"/>
  <c r="U42" i="6"/>
  <c r="S42" i="6"/>
  <c r="G42" i="6"/>
  <c r="E42" i="6"/>
  <c r="AI41" i="6" a="1"/>
  <c r="AI41" i="6" s="1"/>
  <c r="AB41" i="6"/>
  <c r="Y41" i="6"/>
  <c r="W41" i="6"/>
  <c r="Z41" i="6" s="1"/>
  <c r="V41" i="6"/>
  <c r="U41" i="6"/>
  <c r="S41" i="6"/>
  <c r="G41" i="6"/>
  <c r="E41" i="6"/>
  <c r="AI40" i="6" a="1"/>
  <c r="AI40" i="6" s="1"/>
  <c r="AK40" i="6" s="1"/>
  <c r="AM40" i="6" s="1"/>
  <c r="AB40" i="6"/>
  <c r="Y40" i="6"/>
  <c r="W40" i="6"/>
  <c r="Z40" i="6" s="1"/>
  <c r="V40" i="6"/>
  <c r="U40" i="6"/>
  <c r="S40" i="6"/>
  <c r="G40" i="6"/>
  <c r="E40" i="6"/>
  <c r="AI39" i="6" a="1"/>
  <c r="AI39" i="6" s="1"/>
  <c r="AK39" i="6" s="1"/>
  <c r="AM39" i="6" s="1"/>
  <c r="AB39" i="6"/>
  <c r="Y39" i="6"/>
  <c r="W39" i="6"/>
  <c r="Z39" i="6" s="1"/>
  <c r="V39" i="6"/>
  <c r="U39" i="6"/>
  <c r="S39" i="6"/>
  <c r="G39" i="6"/>
  <c r="E39" i="6"/>
  <c r="AI38" i="6" a="1"/>
  <c r="AI38" i="6" s="1"/>
  <c r="AK38" i="6" s="1"/>
  <c r="AM38" i="6" s="1"/>
  <c r="AB38" i="6"/>
  <c r="Y38" i="6"/>
  <c r="W38" i="6"/>
  <c r="Z38" i="6" s="1"/>
  <c r="V38" i="6"/>
  <c r="U38" i="6"/>
  <c r="S38" i="6"/>
  <c r="G38" i="6"/>
  <c r="E38" i="6"/>
  <c r="AI37" i="6" a="1"/>
  <c r="AI37" i="6" s="1"/>
  <c r="AK37" i="6" s="1"/>
  <c r="AM37" i="6" s="1"/>
  <c r="AB37" i="6"/>
  <c r="Y37" i="6"/>
  <c r="W37" i="6"/>
  <c r="Z37" i="6" s="1"/>
  <c r="V37" i="6"/>
  <c r="U37" i="6"/>
  <c r="S37" i="6"/>
  <c r="G37" i="6"/>
  <c r="E37" i="6"/>
  <c r="AI36" i="6" a="1"/>
  <c r="AI36" i="6" s="1"/>
  <c r="AK36" i="6" s="1"/>
  <c r="AM36" i="6" s="1"/>
  <c r="AB36" i="6"/>
  <c r="Y36" i="6"/>
  <c r="W36" i="6"/>
  <c r="Z36" i="6" s="1"/>
  <c r="V36" i="6"/>
  <c r="U36" i="6"/>
  <c r="S36" i="6"/>
  <c r="G36" i="6"/>
  <c r="E36" i="6"/>
  <c r="AI35" i="6" a="1"/>
  <c r="AI35" i="6" s="1"/>
  <c r="AK35" i="6" s="1"/>
  <c r="AM35" i="6" s="1"/>
  <c r="AB35" i="6"/>
  <c r="Y35" i="6"/>
  <c r="W35" i="6"/>
  <c r="Z35" i="6" s="1"/>
  <c r="V35" i="6"/>
  <c r="U35" i="6"/>
  <c r="S35" i="6"/>
  <c r="G35" i="6"/>
  <c r="E35" i="6"/>
  <c r="AI34" i="6" a="1"/>
  <c r="AI34" i="6" s="1"/>
  <c r="AK34" i="6" s="1"/>
  <c r="AM34" i="6" s="1"/>
  <c r="AB34" i="6"/>
  <c r="Y34" i="6"/>
  <c r="W34" i="6"/>
  <c r="Z34" i="6" s="1"/>
  <c r="V34" i="6"/>
  <c r="U34" i="6"/>
  <c r="S34" i="6"/>
  <c r="G34" i="6"/>
  <c r="E34" i="6"/>
  <c r="AI33" i="6" a="1"/>
  <c r="AI33" i="6" s="1"/>
  <c r="AB33" i="6"/>
  <c r="Y33" i="6"/>
  <c r="W33" i="6"/>
  <c r="Z33" i="6" s="1"/>
  <c r="V33" i="6"/>
  <c r="U33" i="6"/>
  <c r="S33" i="6"/>
  <c r="G33" i="6"/>
  <c r="E33" i="6"/>
  <c r="AI32" i="6" a="1"/>
  <c r="AI32" i="6" s="1"/>
  <c r="AK32" i="6" s="1"/>
  <c r="AM32" i="6" s="1"/>
  <c r="AB32" i="6"/>
  <c r="Y32" i="6"/>
  <c r="W32" i="6"/>
  <c r="Z32" i="6" s="1"/>
  <c r="V32" i="6"/>
  <c r="U32" i="6"/>
  <c r="S32" i="6"/>
  <c r="G32" i="6"/>
  <c r="E32" i="6"/>
  <c r="AI31" i="6" a="1"/>
  <c r="AI31" i="6" s="1"/>
  <c r="AK31" i="6" s="1"/>
  <c r="AM31" i="6" s="1"/>
  <c r="AB31" i="6"/>
  <c r="Y31" i="6"/>
  <c r="W31" i="6"/>
  <c r="Z31" i="6" s="1"/>
  <c r="V31" i="6"/>
  <c r="U31" i="6"/>
  <c r="S31" i="6"/>
  <c r="G31" i="6"/>
  <c r="E31" i="6"/>
  <c r="AI30" i="6" a="1"/>
  <c r="AI30" i="6" s="1"/>
  <c r="AK30" i="6" s="1"/>
  <c r="AM30" i="6" s="1"/>
  <c r="AB30" i="6"/>
  <c r="Y30" i="6"/>
  <c r="W30" i="6"/>
  <c r="Z30" i="6" s="1"/>
  <c r="V30" i="6"/>
  <c r="U30" i="6"/>
  <c r="S30" i="6"/>
  <c r="G30" i="6"/>
  <c r="E30" i="6"/>
  <c r="AI29" i="6" a="1"/>
  <c r="AI29" i="6" s="1"/>
  <c r="AK29" i="6" s="1"/>
  <c r="AM29" i="6" s="1"/>
  <c r="AB29" i="6"/>
  <c r="Y29" i="6"/>
  <c r="W29" i="6"/>
  <c r="Z29" i="6" s="1"/>
  <c r="V29" i="6"/>
  <c r="U29" i="6"/>
  <c r="S29" i="6"/>
  <c r="G29" i="6"/>
  <c r="E29" i="6"/>
  <c r="AI28" i="6" a="1"/>
  <c r="AI28" i="6" s="1"/>
  <c r="AK28" i="6" s="1"/>
  <c r="AM28" i="6" s="1"/>
  <c r="AB28" i="6"/>
  <c r="Y28" i="6"/>
  <c r="W28" i="6"/>
  <c r="Z28" i="6" s="1"/>
  <c r="V28" i="6"/>
  <c r="U28" i="6"/>
  <c r="S28" i="6"/>
  <c r="G28" i="6"/>
  <c r="E28" i="6"/>
  <c r="AI27" i="6" a="1"/>
  <c r="AI27" i="6" s="1"/>
  <c r="AK27" i="6" s="1"/>
  <c r="AM27" i="6" s="1"/>
  <c r="AB27" i="6"/>
  <c r="Y27" i="6"/>
  <c r="W27" i="6"/>
  <c r="Z27" i="6" s="1"/>
  <c r="V27" i="6"/>
  <c r="U27" i="6"/>
  <c r="S27" i="6"/>
  <c r="G27" i="6"/>
  <c r="E27" i="6"/>
  <c r="AI26" i="6" a="1"/>
  <c r="AI26" i="6" s="1"/>
  <c r="AK26" i="6" s="1"/>
  <c r="AM26" i="6" s="1"/>
  <c r="AB26" i="6"/>
  <c r="Y26" i="6"/>
  <c r="W26" i="6"/>
  <c r="Z26" i="6" s="1"/>
  <c r="V26" i="6"/>
  <c r="U26" i="6"/>
  <c r="S26" i="6"/>
  <c r="G26" i="6"/>
  <c r="E26" i="6"/>
  <c r="AI25" i="6" a="1"/>
  <c r="AI25" i="6" s="1"/>
  <c r="AB25" i="6"/>
  <c r="Y25" i="6"/>
  <c r="W25" i="6"/>
  <c r="Z25" i="6" s="1"/>
  <c r="V25" i="6"/>
  <c r="U25" i="6"/>
  <c r="S25" i="6"/>
  <c r="G25" i="6"/>
  <c r="E25" i="6"/>
  <c r="AI24" i="6" a="1"/>
  <c r="AI24" i="6" s="1"/>
  <c r="AK24" i="6" s="1"/>
  <c r="AM24" i="6" s="1"/>
  <c r="AB24" i="6"/>
  <c r="Y24" i="6"/>
  <c r="W24" i="6"/>
  <c r="Z24" i="6" s="1"/>
  <c r="V24" i="6"/>
  <c r="U24" i="6"/>
  <c r="S24" i="6"/>
  <c r="G24" i="6"/>
  <c r="E24" i="6"/>
  <c r="AI23" i="6" a="1"/>
  <c r="AI23" i="6" s="1"/>
  <c r="AK23" i="6" s="1"/>
  <c r="AM23" i="6" s="1"/>
  <c r="AB23" i="6"/>
  <c r="Y23" i="6"/>
  <c r="W23" i="6"/>
  <c r="Z23" i="6" s="1"/>
  <c r="V23" i="6"/>
  <c r="U23" i="6"/>
  <c r="S23" i="6"/>
  <c r="G23" i="6"/>
  <c r="E23" i="6"/>
  <c r="AI22" i="6" a="1"/>
  <c r="AI22" i="6" s="1"/>
  <c r="AK22" i="6" s="1"/>
  <c r="AM22" i="6" s="1"/>
  <c r="AB22" i="6"/>
  <c r="Y22" i="6"/>
  <c r="W22" i="6"/>
  <c r="Z22" i="6" s="1"/>
  <c r="V22" i="6"/>
  <c r="U22" i="6"/>
  <c r="S22" i="6"/>
  <c r="G22" i="6"/>
  <c r="E22" i="6"/>
  <c r="AI21" i="6" a="1"/>
  <c r="AI21" i="6" s="1"/>
  <c r="AK21" i="6" s="1"/>
  <c r="AM21" i="6" s="1"/>
  <c r="AB21" i="6"/>
  <c r="Y21" i="6"/>
  <c r="W21" i="6"/>
  <c r="Z21" i="6" s="1"/>
  <c r="V21" i="6"/>
  <c r="U21" i="6"/>
  <c r="S21" i="6"/>
  <c r="G21" i="6"/>
  <c r="E21" i="6"/>
  <c r="AI20" i="6" a="1"/>
  <c r="AI20" i="6" s="1"/>
  <c r="AK20" i="6" s="1"/>
  <c r="AM20" i="6" s="1"/>
  <c r="AB20" i="6"/>
  <c r="Y20" i="6"/>
  <c r="W20" i="6"/>
  <c r="Z20" i="6" s="1"/>
  <c r="V20" i="6"/>
  <c r="U20" i="6"/>
  <c r="S20" i="6"/>
  <c r="G20" i="6"/>
  <c r="E20" i="6"/>
  <c r="AI19" i="6" a="1"/>
  <c r="AI19" i="6" s="1"/>
  <c r="AK19" i="6" s="1"/>
  <c r="AM19" i="6" s="1"/>
  <c r="AB19" i="6"/>
  <c r="Y19" i="6"/>
  <c r="W19" i="6"/>
  <c r="Z19" i="6" s="1"/>
  <c r="V19" i="6"/>
  <c r="U19" i="6"/>
  <c r="S19" i="6"/>
  <c r="G19" i="6"/>
  <c r="E19" i="6"/>
  <c r="AI18" i="6" a="1"/>
  <c r="AI18" i="6" s="1"/>
  <c r="AB18" i="6"/>
  <c r="Y18" i="6"/>
  <c r="W18" i="6"/>
  <c r="Z18" i="6" s="1"/>
  <c r="V18" i="6"/>
  <c r="U18" i="6"/>
  <c r="S18" i="6"/>
  <c r="G18" i="6"/>
  <c r="E18" i="6"/>
  <c r="AI17" i="6" a="1"/>
  <c r="AI17" i="6" s="1"/>
  <c r="AB17" i="6"/>
  <c r="Y17" i="6"/>
  <c r="W17" i="6"/>
  <c r="Z17" i="6" s="1"/>
  <c r="V17" i="6"/>
  <c r="U17" i="6"/>
  <c r="S17" i="6"/>
  <c r="G17" i="6"/>
  <c r="E17" i="6"/>
  <c r="AI16" i="6" a="1"/>
  <c r="AI16" i="6" s="1"/>
  <c r="AK16" i="6" s="1"/>
  <c r="AM16" i="6" s="1"/>
  <c r="AB16" i="6"/>
  <c r="Y16" i="6"/>
  <c r="W16" i="6"/>
  <c r="Z16" i="6" s="1"/>
  <c r="V16" i="6"/>
  <c r="U16" i="6"/>
  <c r="S16" i="6"/>
  <c r="G16" i="6"/>
  <c r="E16" i="6"/>
  <c r="AI15" i="6" a="1"/>
  <c r="AI15" i="6" s="1"/>
  <c r="AK15" i="6" s="1"/>
  <c r="AM15" i="6" s="1"/>
  <c r="AB15" i="6"/>
  <c r="Y15" i="6"/>
  <c r="W15" i="6"/>
  <c r="Z15" i="6" s="1"/>
  <c r="V15" i="6"/>
  <c r="U15" i="6"/>
  <c r="S15" i="6"/>
  <c r="G15" i="6"/>
  <c r="E15" i="6"/>
  <c r="AI14" i="6" a="1"/>
  <c r="AI14" i="6" s="1"/>
  <c r="AB14" i="6"/>
  <c r="Y14" i="6"/>
  <c r="W14" i="6"/>
  <c r="Z14" i="6" s="1"/>
  <c r="V14" i="6"/>
  <c r="U14" i="6"/>
  <c r="S14" i="6"/>
  <c r="G14" i="6"/>
  <c r="E14" i="6"/>
  <c r="Y13" i="6"/>
  <c r="W13" i="6"/>
  <c r="Z13" i="6" s="1"/>
  <c r="V13" i="6"/>
  <c r="U13" i="6"/>
  <c r="S13" i="6"/>
  <c r="G13" i="6"/>
  <c r="E13" i="6"/>
  <c r="Y12" i="6"/>
  <c r="W12" i="6"/>
  <c r="Z12" i="6" s="1"/>
  <c r="V12" i="6"/>
  <c r="U12" i="6"/>
  <c r="S12" i="6"/>
  <c r="G12" i="6"/>
  <c r="E12" i="6"/>
  <c r="Y11" i="6"/>
  <c r="W11" i="6"/>
  <c r="Z11" i="6" s="1"/>
  <c r="V11" i="6"/>
  <c r="U11" i="6"/>
  <c r="S11" i="6"/>
  <c r="G11" i="6"/>
  <c r="E11" i="6"/>
  <c r="AJ18" i="6" l="1"/>
  <c r="AK18" i="6"/>
  <c r="AM18" i="6" s="1"/>
  <c r="AJ33" i="6"/>
  <c r="AK33" i="6"/>
  <c r="AM33" i="6" s="1"/>
  <c r="AJ41" i="6"/>
  <c r="AK41" i="6"/>
  <c r="AM41" i="6" s="1"/>
  <c r="AJ49" i="6"/>
  <c r="AK49" i="6"/>
  <c r="AM49" i="6" s="1"/>
  <c r="AJ17" i="6"/>
  <c r="AK17" i="6"/>
  <c r="AM17" i="6" s="1"/>
  <c r="AJ25" i="6"/>
  <c r="AK25" i="6"/>
  <c r="AM25" i="6" s="1"/>
  <c r="AJ14" i="6"/>
  <c r="AK14" i="6"/>
  <c r="AM14" i="6" s="1"/>
  <c r="AJ52" i="6"/>
  <c r="AK52" i="6"/>
  <c r="AM52" i="6" s="1"/>
  <c r="AJ40" i="6"/>
  <c r="AL40" i="6" s="1"/>
  <c r="AJ48" i="6"/>
  <c r="AL48" i="6" s="1"/>
  <c r="AJ24" i="6"/>
  <c r="AL24" i="6" s="1"/>
  <c r="AJ32" i="6"/>
  <c r="AL32" i="6" s="1"/>
  <c r="AJ35" i="6"/>
  <c r="AL35" i="6" s="1"/>
  <c r="AJ51" i="6"/>
  <c r="AL51" i="6" s="1"/>
  <c r="AJ27" i="6"/>
  <c r="AL27" i="6" s="1"/>
  <c r="AJ43" i="6"/>
  <c r="AL43" i="6" s="1"/>
  <c r="AJ15" i="6"/>
  <c r="AL15" i="6" s="1"/>
  <c r="AJ19" i="6"/>
  <c r="AL19" i="6" s="1"/>
  <c r="AJ28" i="6"/>
  <c r="AL28" i="6" s="1"/>
  <c r="AJ36" i="6"/>
  <c r="AL36" i="6" s="1"/>
  <c r="AJ20" i="6"/>
  <c r="AL20" i="6" s="1"/>
  <c r="AJ21" i="6"/>
  <c r="AL21" i="6" s="1"/>
  <c r="AJ22" i="6"/>
  <c r="AL22" i="6" s="1"/>
  <c r="AJ30" i="6"/>
  <c r="AL30" i="6" s="1"/>
  <c r="AJ38" i="6"/>
  <c r="AL38" i="6" s="1"/>
  <c r="AJ46" i="6"/>
  <c r="AL46" i="6" s="1"/>
  <c r="AJ44" i="6"/>
  <c r="AL44" i="6" s="1"/>
  <c r="AJ16" i="6"/>
  <c r="AL16" i="6" s="1"/>
  <c r="AJ29" i="6"/>
  <c r="AL29" i="6" s="1"/>
  <c r="AJ37" i="6"/>
  <c r="AL37" i="6" s="1"/>
  <c r="AJ45" i="6"/>
  <c r="AL45" i="6" s="1"/>
  <c r="AJ23" i="6"/>
  <c r="AL23" i="6" s="1"/>
  <c r="AJ26" i="6"/>
  <c r="AL26" i="6" s="1"/>
  <c r="AJ31" i="6"/>
  <c r="AL31" i="6" s="1"/>
  <c r="AJ34" i="6"/>
  <c r="AL34" i="6" s="1"/>
  <c r="AJ39" i="6"/>
  <c r="AL39" i="6" s="1"/>
  <c r="AJ42" i="6"/>
  <c r="AL42" i="6" s="1"/>
  <c r="AJ47" i="6"/>
  <c r="AL47" i="6" s="1"/>
  <c r="AJ50" i="6"/>
  <c r="AL50" i="6" s="1"/>
  <c r="AJ53" i="6"/>
  <c r="AL53" i="6" s="1"/>
  <c r="AL25" i="6" l="1"/>
  <c r="AL41" i="6"/>
  <c r="AL52" i="6"/>
  <c r="AL17" i="6"/>
  <c r="AL33" i="6"/>
  <c r="AL14" i="6"/>
  <c r="AL49" i="6"/>
  <c r="AL18" i="6"/>
  <c r="W6" i="6"/>
  <c r="Z6" i="6" s="1"/>
  <c r="S10" i="6"/>
  <c r="S9" i="6"/>
  <c r="S8" i="6"/>
  <c r="S7" i="6"/>
  <c r="S6" i="6"/>
  <c r="V10" i="6"/>
  <c r="U10" i="6"/>
  <c r="V9" i="6"/>
  <c r="U9" i="6"/>
  <c r="V8" i="6"/>
  <c r="U8" i="6"/>
  <c r="V7" i="6"/>
  <c r="U7" i="6"/>
  <c r="V6" i="6"/>
  <c r="U6" i="6"/>
  <c r="S3" i="6" l="1"/>
  <c r="AB3" i="6"/>
  <c r="E10" i="6" l="1"/>
  <c r="G10" i="6"/>
  <c r="W10" i="6"/>
  <c r="Z10" i="6" s="1"/>
  <c r="M3" i="6"/>
  <c r="L3" i="6"/>
  <c r="W9" i="6"/>
  <c r="Z9" i="6" s="1"/>
  <c r="W8" i="6"/>
  <c r="Z8" i="6" s="1"/>
  <c r="W7" i="6"/>
  <c r="Z7" i="6" s="1"/>
  <c r="E2" i="11"/>
  <c r="C2" i="1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AH3" i="6" l="1"/>
  <c r="AN3" i="6"/>
  <c r="AG3" i="6"/>
  <c r="AF3" i="6"/>
  <c r="AE3" i="6"/>
  <c r="AD3" i="6"/>
  <c r="AC3" i="6"/>
  <c r="AA3" i="6"/>
  <c r="Y3" i="6"/>
  <c r="V3" i="6"/>
  <c r="U3" i="6"/>
  <c r="K3" i="6"/>
  <c r="J3" i="6"/>
  <c r="I3" i="6"/>
  <c r="F3" i="6"/>
  <c r="C3" i="6"/>
  <c r="E9" i="6"/>
  <c r="G9" i="6"/>
  <c r="E8" i="6"/>
  <c r="G8" i="6"/>
  <c r="W3" i="6" l="1"/>
  <c r="Z3" i="6"/>
  <c r="AM3" i="6" l="1"/>
  <c r="E7" i="6" l="1"/>
  <c r="G7" i="6"/>
  <c r="G6" i="6"/>
  <c r="G3" i="6" s="1"/>
  <c r="E6" i="6" l="1"/>
  <c r="E3" i="6" s="1"/>
  <c r="C2" i="3"/>
  <c r="C3" i="3"/>
  <c r="C4" i="3"/>
  <c r="C5" i="3"/>
  <c r="C6" i="3"/>
  <c r="C7" i="3"/>
  <c r="C8" i="3"/>
  <c r="C9" i="3"/>
  <c r="C10" i="3"/>
  <c r="C11" i="3"/>
  <c r="C12" i="3"/>
  <c r="C2" i="4"/>
  <c r="C3" i="4"/>
  <c r="C4" i="4"/>
  <c r="C5" i="4"/>
  <c r="C6" i="4"/>
  <c r="C7" i="4"/>
  <c r="C8" i="4"/>
  <c r="C9" i="4"/>
  <c r="C10" i="4"/>
  <c r="C11" i="4"/>
  <c r="C12" i="4"/>
  <c r="D4" i="2" l="1"/>
  <c r="D5" i="2"/>
  <c r="D6" i="2"/>
  <c r="D7" i="2"/>
  <c r="D8" i="2"/>
  <c r="D9" i="2"/>
  <c r="D10" i="2"/>
  <c r="D11" i="2"/>
  <c r="D12" i="2"/>
  <c r="D13" i="2"/>
  <c r="D14" i="2"/>
  <c r="D15" i="2"/>
  <c r="D16" i="2"/>
  <c r="D17"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C4" i="2"/>
  <c r="C5" i="2"/>
  <c r="C6" i="2"/>
  <c r="C7" i="2"/>
  <c r="C8" i="2"/>
  <c r="C9" i="2"/>
  <c r="C10" i="2"/>
  <c r="C11" i="2"/>
  <c r="C12" i="2"/>
  <c r="C13" i="2"/>
  <c r="C14" i="2"/>
  <c r="C15" i="2"/>
  <c r="C16" i="2"/>
  <c r="C17"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 Clarkson</author>
  </authors>
  <commentList>
    <comment ref="B7" authorId="0" shapeId="0" xr:uid="{00000000-0006-0000-0100-000001000000}">
      <text>
        <r>
          <rPr>
            <b/>
            <sz val="9"/>
            <color indexed="81"/>
            <rFont val="Tahoma"/>
            <family val="2"/>
          </rPr>
          <t>OMES:</t>
        </r>
        <r>
          <rPr>
            <sz val="9"/>
            <color indexed="81"/>
            <rFont val="Tahoma"/>
            <family val="2"/>
          </rPr>
          <t xml:space="preserve">
Enter numbers (including area code) with no spaces or punctuation; data will be automatically formatted
</t>
        </r>
      </text>
    </comment>
    <comment ref="B8" authorId="0" shapeId="0" xr:uid="{00000000-0006-0000-0100-000002000000}">
      <text>
        <r>
          <rPr>
            <b/>
            <sz val="9"/>
            <color indexed="81"/>
            <rFont val="Tahoma"/>
            <family val="2"/>
          </rPr>
          <t>OMES:</t>
        </r>
        <r>
          <rPr>
            <sz val="9"/>
            <color indexed="81"/>
            <rFont val="Tahoma"/>
            <family val="2"/>
          </rPr>
          <t xml:space="preserve">
Enter numbers (including area code) with no spaces or punctuation; data will be automatically formatted
</t>
        </r>
      </text>
    </comment>
    <comment ref="B12" authorId="0" shapeId="0" xr:uid="{00000000-0006-0000-0100-000003000000}">
      <text>
        <r>
          <rPr>
            <b/>
            <sz val="9"/>
            <color indexed="81"/>
            <rFont val="Tahoma"/>
            <family val="2"/>
          </rPr>
          <t>OMES:</t>
        </r>
        <r>
          <rPr>
            <sz val="9"/>
            <color indexed="81"/>
            <rFont val="Tahoma"/>
            <family val="2"/>
          </rPr>
          <t xml:space="preserve">
Enter numbers (including area code) with no spaces or punctuation; data will be automatically formatted
</t>
        </r>
      </text>
    </comment>
    <comment ref="B13" authorId="0" shapeId="0" xr:uid="{00000000-0006-0000-0100-000004000000}">
      <text>
        <r>
          <rPr>
            <b/>
            <sz val="9"/>
            <color indexed="81"/>
            <rFont val="Tahoma"/>
            <family val="2"/>
          </rPr>
          <t>OMES:</t>
        </r>
        <r>
          <rPr>
            <sz val="9"/>
            <color indexed="81"/>
            <rFont val="Tahoma"/>
            <family val="2"/>
          </rPr>
          <t xml:space="preserve">
Enter numbers (including area code) with no spaces or punctuation; data will be automatically formatted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Ray Ceasar</author>
  </authors>
  <commentList>
    <comment ref="C5" authorId="0" shapeId="0" xr:uid="{00000000-0006-0000-0400-000001000000}">
      <text>
        <r>
          <rPr>
            <b/>
            <sz val="9"/>
            <color indexed="81"/>
            <rFont val="Tahoma"/>
            <family val="2"/>
          </rPr>
          <t>Required; Must be Unique</t>
        </r>
        <r>
          <rPr>
            <sz val="9"/>
            <color indexed="81"/>
            <rFont val="Tahoma"/>
            <family val="2"/>
          </rPr>
          <t xml:space="preserve">
</t>
        </r>
        <r>
          <rPr>
            <b/>
            <sz val="9"/>
            <color indexed="81"/>
            <rFont val="Tahoma"/>
            <family val="2"/>
          </rPr>
          <t>12 character code</t>
        </r>
        <r>
          <rPr>
            <sz val="9"/>
            <color indexed="81"/>
            <rFont val="Tahoma"/>
            <family val="2"/>
          </rPr>
          <t xml:space="preserve">
3 digit agency-YYYY-###
Example: 020-2019-003</t>
        </r>
      </text>
    </comment>
    <comment ref="D5" authorId="0" shapeId="0" xr:uid="{00000000-0006-0000-0400-000002000000}">
      <text>
        <r>
          <rPr>
            <b/>
            <sz val="9"/>
            <color indexed="81"/>
            <rFont val="Tahoma"/>
            <family val="2"/>
          </rPr>
          <t>Required;
Select value from list</t>
        </r>
      </text>
    </comment>
    <comment ref="F5" authorId="0" shapeId="0" xr:uid="{00000000-0006-0000-0400-000003000000}">
      <text>
        <r>
          <rPr>
            <b/>
            <sz val="9"/>
            <color indexed="81"/>
            <rFont val="Tahoma"/>
            <family val="2"/>
          </rPr>
          <t>Required;
Must be unique;
75 character maximum; include agency number to ensure uniqueness across all agencies</t>
        </r>
      </text>
    </comment>
    <comment ref="H5" authorId="0" shapeId="0" xr:uid="{00000000-0006-0000-0400-000004000000}">
      <text>
        <r>
          <rPr>
            <b/>
            <sz val="9"/>
            <color indexed="81"/>
            <rFont val="Tahoma"/>
            <family val="2"/>
          </rPr>
          <t>Optional Field;
12 character maximum</t>
        </r>
        <r>
          <rPr>
            <sz val="9"/>
            <color indexed="81"/>
            <rFont val="Tahoma"/>
            <family val="2"/>
          </rPr>
          <t xml:space="preserve">
</t>
        </r>
      </text>
    </comment>
    <comment ref="I5" authorId="0" shapeId="0" xr:uid="{00000000-0006-0000-0400-000005000000}">
      <text>
        <r>
          <rPr>
            <b/>
            <sz val="9"/>
            <color indexed="81"/>
            <rFont val="Tahoma"/>
            <family val="2"/>
          </rPr>
          <t>Required;
Select value from list</t>
        </r>
      </text>
    </comment>
    <comment ref="J5" authorId="0" shapeId="0" xr:uid="{00000000-0006-0000-0400-000006000000}">
      <text>
        <r>
          <rPr>
            <b/>
            <sz val="9"/>
            <color indexed="81"/>
            <rFont val="Tahoma"/>
            <family val="2"/>
          </rPr>
          <t>Required;
Select value from list.</t>
        </r>
      </text>
    </comment>
    <comment ref="K5" authorId="0" shapeId="0" xr:uid="{00000000-0006-0000-0400-000007000000}">
      <text>
        <r>
          <rPr>
            <b/>
            <sz val="9"/>
            <color indexed="81"/>
            <rFont val="Tahoma"/>
            <family val="2"/>
          </rPr>
          <t>Free form text;
consider including vendor / tenant name</t>
        </r>
      </text>
    </comment>
    <comment ref="L5" authorId="0" shapeId="0" xr:uid="{00000000-0006-0000-0400-000008000000}">
      <text>
        <r>
          <rPr>
            <b/>
            <sz val="9"/>
            <color indexed="81"/>
            <rFont val="Tahoma"/>
            <family val="2"/>
          </rPr>
          <t>Date is informational</t>
        </r>
        <r>
          <rPr>
            <sz val="9"/>
            <color indexed="81"/>
            <rFont val="Tahoma"/>
            <family val="2"/>
          </rPr>
          <t xml:space="preserve">
</t>
        </r>
      </text>
    </comment>
    <comment ref="M5" authorId="0" shapeId="0" xr:uid="{00000000-0006-0000-0400-000009000000}">
      <text>
        <r>
          <rPr>
            <b/>
            <sz val="9"/>
            <color indexed="81"/>
            <rFont val="Tahoma"/>
            <family val="2"/>
          </rPr>
          <t>Date is informational</t>
        </r>
      </text>
    </comment>
    <comment ref="N5" authorId="0" shapeId="0" xr:uid="{00000000-0006-0000-0400-00000A000000}">
      <text>
        <r>
          <rPr>
            <b/>
            <sz val="9"/>
            <color indexed="81"/>
            <rFont val="Tahoma"/>
            <family val="2"/>
          </rPr>
          <t>Date is informational</t>
        </r>
        <r>
          <rPr>
            <sz val="9"/>
            <color indexed="81"/>
            <rFont val="Tahoma"/>
            <family val="2"/>
          </rPr>
          <t xml:space="preserve">
</t>
        </r>
      </text>
    </comment>
    <comment ref="O5" authorId="0" shapeId="0" xr:uid="{00000000-0006-0000-0400-00000B000000}">
      <text>
        <r>
          <rPr>
            <b/>
            <sz val="9"/>
            <color indexed="81"/>
            <rFont val="Tahoma"/>
            <family val="2"/>
          </rPr>
          <t>Date is informational</t>
        </r>
        <r>
          <rPr>
            <sz val="9"/>
            <color indexed="81"/>
            <rFont val="Tahoma"/>
            <family val="2"/>
          </rPr>
          <t xml:space="preserve">
</t>
        </r>
      </text>
    </comment>
    <comment ref="P5" authorId="0" shapeId="0" xr:uid="{00000000-0006-0000-0400-00000C000000}">
      <text>
        <r>
          <rPr>
            <b/>
            <sz val="9"/>
            <color indexed="81"/>
            <rFont val="Tahoma"/>
            <family val="2"/>
          </rPr>
          <t>Date is informational</t>
        </r>
        <r>
          <rPr>
            <sz val="9"/>
            <color indexed="81"/>
            <rFont val="Tahoma"/>
            <family val="2"/>
          </rPr>
          <t xml:space="preserve">
</t>
        </r>
      </text>
    </comment>
    <comment ref="Q5" authorId="0" shapeId="0" xr:uid="{00000000-0006-0000-0400-00000D000000}">
      <text>
        <r>
          <rPr>
            <b/>
            <sz val="9"/>
            <color indexed="81"/>
            <rFont val="Tahoma"/>
            <family val="2"/>
          </rPr>
          <t>Date is informational</t>
        </r>
        <r>
          <rPr>
            <sz val="9"/>
            <color indexed="81"/>
            <rFont val="Tahoma"/>
            <family val="2"/>
          </rPr>
          <t xml:space="preserve">
</t>
        </r>
      </text>
    </comment>
    <comment ref="R5" authorId="0" shapeId="0" xr:uid="{00000000-0006-0000-0400-00000E000000}">
      <text>
        <r>
          <rPr>
            <b/>
            <sz val="9"/>
            <color indexed="81"/>
            <rFont val="Tahoma"/>
            <family val="2"/>
          </rPr>
          <t>Optional;
Free form text</t>
        </r>
      </text>
    </comment>
    <comment ref="T5" authorId="0" shapeId="0" xr:uid="{00000000-0006-0000-0400-00000F000000}">
      <text>
        <r>
          <rPr>
            <b/>
            <sz val="9"/>
            <color indexed="81"/>
            <rFont val="Tahoma"/>
            <family val="2"/>
          </rPr>
          <t>Same as Column D</t>
        </r>
      </text>
    </comment>
    <comment ref="U5" authorId="0" shapeId="0" xr:uid="{00000000-0006-0000-0400-000010000000}">
      <text>
        <r>
          <rPr>
            <b/>
            <sz val="9"/>
            <color indexed="81"/>
            <rFont val="Tahoma"/>
            <family val="2"/>
          </rPr>
          <t>Required;
12-character maximum</t>
        </r>
        <r>
          <rPr>
            <sz val="9"/>
            <color indexed="81"/>
            <rFont val="Tahoma"/>
            <family val="2"/>
          </rPr>
          <t xml:space="preserve">
</t>
        </r>
      </text>
    </comment>
    <comment ref="V5" authorId="0" shapeId="0" xr:uid="{00000000-0006-0000-0400-000011000000}">
      <text>
        <r>
          <rPr>
            <b/>
            <sz val="9"/>
            <color indexed="81"/>
            <rFont val="Tahoma"/>
            <family val="2"/>
          </rPr>
          <t>Required;
50-character maximum</t>
        </r>
      </text>
    </comment>
    <comment ref="W5" authorId="0" shapeId="0" xr:uid="{00000000-0006-0000-0400-000012000000}">
      <text>
        <r>
          <rPr>
            <b/>
            <sz val="9"/>
            <color indexed="81"/>
            <rFont val="Tahoma"/>
            <family val="2"/>
          </rPr>
          <t>Required;
Select value from list</t>
        </r>
      </text>
    </comment>
    <comment ref="X5" authorId="0" shapeId="0" xr:uid="{00000000-0006-0000-0400-000013000000}">
      <text>
        <r>
          <rPr>
            <b/>
            <sz val="9"/>
            <color indexed="81"/>
            <rFont val="Tahoma"/>
            <family val="2"/>
          </rPr>
          <t>Optional;
Free form text</t>
        </r>
      </text>
    </comment>
    <comment ref="Y5" authorId="0" shapeId="0" xr:uid="{00000000-0006-0000-0400-000014000000}">
      <text>
        <r>
          <rPr>
            <b/>
            <sz val="9"/>
            <color indexed="81"/>
            <rFont val="Tahoma"/>
            <family val="2"/>
          </rPr>
          <t>Required;
Select value from list</t>
        </r>
      </text>
    </comment>
    <comment ref="Z5" authorId="0" shapeId="0" xr:uid="{00000000-0006-0000-0400-000015000000}">
      <text>
        <r>
          <rPr>
            <b/>
            <sz val="9"/>
            <color indexed="81"/>
            <rFont val="Tahoma"/>
            <family val="2"/>
          </rPr>
          <t>Required;
Select value from list</t>
        </r>
      </text>
    </comment>
    <comment ref="AA5" authorId="0" shapeId="0" xr:uid="{00000000-0006-0000-0400-000016000000}">
      <text>
        <r>
          <rPr>
            <b/>
            <sz val="9"/>
            <color indexed="81"/>
            <rFont val="Tahoma"/>
            <family val="2"/>
          </rPr>
          <t>Required;
Start Date of agreement or Implementation Date, whichever is later</t>
        </r>
      </text>
    </comment>
    <comment ref="AB5" authorId="0" shapeId="0" xr:uid="{00000000-0006-0000-0400-000017000000}">
      <text>
        <r>
          <rPr>
            <b/>
            <sz val="9"/>
            <color indexed="81"/>
            <rFont val="Tahoma"/>
            <family val="2"/>
          </rPr>
          <t>Required;
End Date of agreement inclduing extenstion periods</t>
        </r>
      </text>
    </comment>
    <comment ref="AC5" authorId="0" shapeId="0" xr:uid="{00000000-0006-0000-0400-000018000000}">
      <text>
        <r>
          <rPr>
            <b/>
            <sz val="9"/>
            <color indexed="81"/>
            <rFont val="Tahoma"/>
            <family val="2"/>
          </rPr>
          <t>Enter the periodic routine fixed payment amount.</t>
        </r>
        <r>
          <rPr>
            <sz val="9"/>
            <color indexed="81"/>
            <rFont val="Tahoma"/>
            <family val="2"/>
          </rPr>
          <t xml:space="preserve">
</t>
        </r>
      </text>
    </comment>
    <comment ref="AD5" authorId="0" shapeId="0" xr:uid="{00000000-0006-0000-0400-000019000000}">
      <text>
        <r>
          <rPr>
            <b/>
            <sz val="9"/>
            <color indexed="81"/>
            <rFont val="Tahoma"/>
            <family val="2"/>
          </rPr>
          <t>Required;
Select value from list</t>
        </r>
      </text>
    </comment>
    <comment ref="AE5" authorId="0" shapeId="0" xr:uid="{00000000-0006-0000-0400-00001A000000}">
      <text>
        <r>
          <rPr>
            <b/>
            <sz val="9"/>
            <color indexed="81"/>
            <rFont val="Tahoma"/>
            <family val="2"/>
          </rPr>
          <t>Required;
Select value from list</t>
        </r>
      </text>
    </comment>
    <comment ref="AF5" authorId="0" shapeId="0" xr:uid="{00000000-0006-0000-0400-00001B000000}">
      <text>
        <r>
          <rPr>
            <b/>
            <sz val="9"/>
            <color indexed="81"/>
            <rFont val="Tahoma"/>
            <family val="2"/>
          </rPr>
          <t>Enter only if rate is specified in the agreement.</t>
        </r>
      </text>
    </comment>
    <comment ref="AG5" authorId="0" shapeId="0" xr:uid="{00000000-0006-0000-0400-00001C000000}">
      <text>
        <r>
          <rPr>
            <b/>
            <sz val="9"/>
            <color indexed="81"/>
            <rFont val="Tahoma"/>
            <family val="2"/>
          </rPr>
          <t>Enter Date to start the payment for the record.</t>
        </r>
      </text>
    </comment>
    <comment ref="AH5" authorId="0" shapeId="0" xr:uid="{00000000-0006-0000-0400-00001D000000}">
      <text>
        <r>
          <rPr>
            <b/>
            <sz val="9"/>
            <color indexed="81"/>
            <rFont val="Tahoma"/>
            <family val="2"/>
          </rPr>
          <t>Enter Date to end the payment for the record.
Date must be after the Start Date.</t>
        </r>
      </text>
    </comment>
    <comment ref="AM5" authorId="0" shapeId="0" xr:uid="{00000000-0006-0000-0400-00001E000000}">
      <text>
        <r>
          <rPr>
            <b/>
            <sz val="9"/>
            <color indexed="81"/>
            <rFont val="Tahoma"/>
            <family val="2"/>
          </rPr>
          <t>Deferred Inflow is defaulted to the present value of the payment;
Enter a different amount if appropriate.</t>
        </r>
      </text>
    </comment>
    <comment ref="AN5" authorId="0" shapeId="0" xr:uid="{00000000-0006-0000-0400-00001F000000}">
      <text>
        <r>
          <rPr>
            <b/>
            <sz val="9"/>
            <color indexed="81"/>
            <rFont val="Tahoma"/>
            <family val="2"/>
          </rPr>
          <t>Select value from list</t>
        </r>
        <r>
          <rPr>
            <sz val="9"/>
            <color indexed="81"/>
            <rFont val="Tahoma"/>
            <family val="2"/>
          </rPr>
          <t xml:space="preserve">
</t>
        </r>
      </text>
    </comment>
    <comment ref="AO5" authorId="0" shapeId="0" xr:uid="{00000000-0006-0000-0400-000020000000}">
      <text>
        <r>
          <rPr>
            <b/>
            <sz val="9"/>
            <color indexed="81"/>
            <rFont val="Tahoma"/>
            <family val="2"/>
          </rPr>
          <t>If a Related Party lease, enter the name of the related party.</t>
        </r>
      </text>
    </comment>
    <comment ref="AP5" authorId="0" shapeId="0" xr:uid="{00000000-0006-0000-0400-000021000000}">
      <text>
        <r>
          <rPr>
            <b/>
            <sz val="9"/>
            <color indexed="81"/>
            <rFont val="Tahoma"/>
            <family val="2"/>
          </rPr>
          <t>Inidcate Sale/Leaseback with a "Y"</t>
        </r>
        <r>
          <rPr>
            <sz val="9"/>
            <color indexed="81"/>
            <rFont val="Tahoma"/>
            <family val="2"/>
          </rPr>
          <t xml:space="preserve">
</t>
        </r>
      </text>
    </comment>
    <comment ref="AQ5" authorId="0" shapeId="0" xr:uid="{00000000-0006-0000-0400-000022000000}">
      <text>
        <r>
          <rPr>
            <b/>
            <sz val="9"/>
            <color indexed="81"/>
            <rFont val="Tahoma"/>
            <family val="2"/>
          </rPr>
          <t>Indicate a Lease/Leaseback with the Agreement Code of the related lease.</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Ray Ceasar</author>
  </authors>
  <commentList>
    <comment ref="C5" authorId="0" shapeId="0" xr:uid="{00000000-0006-0000-0600-000001000000}">
      <text>
        <r>
          <rPr>
            <b/>
            <sz val="9"/>
            <color indexed="81"/>
            <rFont val="Tahoma"/>
            <family val="2"/>
          </rPr>
          <t>Required; Must be Unique</t>
        </r>
        <r>
          <rPr>
            <sz val="9"/>
            <color indexed="81"/>
            <rFont val="Tahoma"/>
            <family val="2"/>
          </rPr>
          <t xml:space="preserve">
</t>
        </r>
        <r>
          <rPr>
            <b/>
            <sz val="9"/>
            <color indexed="81"/>
            <rFont val="Tahoma"/>
            <family val="2"/>
          </rPr>
          <t>12 character code</t>
        </r>
        <r>
          <rPr>
            <sz val="9"/>
            <color indexed="81"/>
            <rFont val="Tahoma"/>
            <family val="2"/>
          </rPr>
          <t xml:space="preserve">
3 digit agency-YYYY-###
Example: 020-2019-003</t>
        </r>
      </text>
    </comment>
    <comment ref="D5" authorId="0" shapeId="0" xr:uid="{00000000-0006-0000-0600-000002000000}">
      <text>
        <r>
          <rPr>
            <b/>
            <sz val="9"/>
            <color indexed="81"/>
            <rFont val="Tahoma"/>
            <family val="2"/>
          </rPr>
          <t>Required;
Select value from list</t>
        </r>
      </text>
    </comment>
    <comment ref="F5" authorId="0" shapeId="0" xr:uid="{00000000-0006-0000-0600-000003000000}">
      <text>
        <r>
          <rPr>
            <b/>
            <sz val="9"/>
            <color indexed="81"/>
            <rFont val="Tahoma"/>
            <family val="2"/>
          </rPr>
          <t>Required;
Must be unique;
75 character maximum; include agency number to ensure uniqueness across all agencies</t>
        </r>
      </text>
    </comment>
    <comment ref="H5" authorId="0" shapeId="0" xr:uid="{00000000-0006-0000-0600-000004000000}">
      <text>
        <r>
          <rPr>
            <b/>
            <sz val="9"/>
            <color indexed="81"/>
            <rFont val="Tahoma"/>
            <family val="2"/>
          </rPr>
          <t>Optional Field;
12 character maximum</t>
        </r>
        <r>
          <rPr>
            <sz val="9"/>
            <color indexed="81"/>
            <rFont val="Tahoma"/>
            <family val="2"/>
          </rPr>
          <t xml:space="preserve">
</t>
        </r>
      </text>
    </comment>
    <comment ref="I5" authorId="0" shapeId="0" xr:uid="{00000000-0006-0000-0600-000005000000}">
      <text>
        <r>
          <rPr>
            <b/>
            <sz val="9"/>
            <color indexed="81"/>
            <rFont val="Tahoma"/>
            <family val="2"/>
          </rPr>
          <t>Required;
Select value from list</t>
        </r>
      </text>
    </comment>
    <comment ref="J5" authorId="0" shapeId="0" xr:uid="{00000000-0006-0000-0600-000006000000}">
      <text>
        <r>
          <rPr>
            <b/>
            <sz val="9"/>
            <color indexed="81"/>
            <rFont val="Tahoma"/>
            <family val="2"/>
          </rPr>
          <t>Required;
Select value from list.</t>
        </r>
      </text>
    </comment>
    <comment ref="K5" authorId="0" shapeId="0" xr:uid="{00000000-0006-0000-0600-000007000000}">
      <text>
        <r>
          <rPr>
            <b/>
            <sz val="9"/>
            <color indexed="81"/>
            <rFont val="Tahoma"/>
            <family val="2"/>
          </rPr>
          <t>Free form text;
consider including vendor / tenant name</t>
        </r>
      </text>
    </comment>
    <comment ref="L5" authorId="0" shapeId="0" xr:uid="{00000000-0006-0000-0600-000008000000}">
      <text>
        <r>
          <rPr>
            <b/>
            <sz val="9"/>
            <color indexed="81"/>
            <rFont val="Tahoma"/>
            <family val="2"/>
          </rPr>
          <t>Date is informational</t>
        </r>
        <r>
          <rPr>
            <sz val="9"/>
            <color indexed="81"/>
            <rFont val="Tahoma"/>
            <family val="2"/>
          </rPr>
          <t xml:space="preserve">
</t>
        </r>
      </text>
    </comment>
    <comment ref="M5" authorId="0" shapeId="0" xr:uid="{00000000-0006-0000-0600-000009000000}">
      <text>
        <r>
          <rPr>
            <b/>
            <sz val="9"/>
            <color indexed="81"/>
            <rFont val="Tahoma"/>
            <family val="2"/>
          </rPr>
          <t>Date is informational</t>
        </r>
      </text>
    </comment>
    <comment ref="N5" authorId="0" shapeId="0" xr:uid="{00000000-0006-0000-0600-00000A000000}">
      <text>
        <r>
          <rPr>
            <b/>
            <sz val="9"/>
            <color indexed="81"/>
            <rFont val="Tahoma"/>
            <family val="2"/>
          </rPr>
          <t>Date is informational</t>
        </r>
        <r>
          <rPr>
            <sz val="9"/>
            <color indexed="81"/>
            <rFont val="Tahoma"/>
            <family val="2"/>
          </rPr>
          <t xml:space="preserve">
</t>
        </r>
      </text>
    </comment>
    <comment ref="O5" authorId="0" shapeId="0" xr:uid="{00000000-0006-0000-0600-00000B000000}">
      <text>
        <r>
          <rPr>
            <b/>
            <sz val="9"/>
            <color indexed="81"/>
            <rFont val="Tahoma"/>
            <family val="2"/>
          </rPr>
          <t>Date is informational</t>
        </r>
        <r>
          <rPr>
            <sz val="9"/>
            <color indexed="81"/>
            <rFont val="Tahoma"/>
            <family val="2"/>
          </rPr>
          <t xml:space="preserve">
</t>
        </r>
      </text>
    </comment>
    <comment ref="P5" authorId="0" shapeId="0" xr:uid="{00000000-0006-0000-0600-00000C000000}">
      <text>
        <r>
          <rPr>
            <b/>
            <sz val="9"/>
            <color indexed="81"/>
            <rFont val="Tahoma"/>
            <family val="2"/>
          </rPr>
          <t>Date is informational</t>
        </r>
        <r>
          <rPr>
            <sz val="9"/>
            <color indexed="81"/>
            <rFont val="Tahoma"/>
            <family val="2"/>
          </rPr>
          <t xml:space="preserve">
</t>
        </r>
      </text>
    </comment>
    <comment ref="Q5" authorId="0" shapeId="0" xr:uid="{00000000-0006-0000-0600-00000D000000}">
      <text>
        <r>
          <rPr>
            <b/>
            <sz val="9"/>
            <color indexed="81"/>
            <rFont val="Tahoma"/>
            <family val="2"/>
          </rPr>
          <t>Date is informational</t>
        </r>
        <r>
          <rPr>
            <sz val="9"/>
            <color indexed="81"/>
            <rFont val="Tahoma"/>
            <family val="2"/>
          </rPr>
          <t xml:space="preserve">
</t>
        </r>
      </text>
    </comment>
    <comment ref="R5" authorId="0" shapeId="0" xr:uid="{00000000-0006-0000-0600-00000E000000}">
      <text>
        <r>
          <rPr>
            <b/>
            <sz val="9"/>
            <color indexed="81"/>
            <rFont val="Tahoma"/>
            <family val="2"/>
          </rPr>
          <t>Optional;
Free form text</t>
        </r>
      </text>
    </comment>
    <comment ref="T5" authorId="0" shapeId="0" xr:uid="{00000000-0006-0000-0600-00000F000000}">
      <text>
        <r>
          <rPr>
            <b/>
            <sz val="9"/>
            <color indexed="81"/>
            <rFont val="Tahoma"/>
            <family val="2"/>
          </rPr>
          <t>Same as Column D</t>
        </r>
      </text>
    </comment>
    <comment ref="U5" authorId="0" shapeId="0" xr:uid="{00000000-0006-0000-0600-000010000000}">
      <text>
        <r>
          <rPr>
            <b/>
            <sz val="9"/>
            <color indexed="81"/>
            <rFont val="Tahoma"/>
            <family val="2"/>
          </rPr>
          <t>Required;
12-character maximum</t>
        </r>
        <r>
          <rPr>
            <sz val="9"/>
            <color indexed="81"/>
            <rFont val="Tahoma"/>
            <family val="2"/>
          </rPr>
          <t xml:space="preserve">
</t>
        </r>
      </text>
    </comment>
    <comment ref="V5" authorId="0" shapeId="0" xr:uid="{00000000-0006-0000-0600-000011000000}">
      <text>
        <r>
          <rPr>
            <b/>
            <sz val="9"/>
            <color indexed="81"/>
            <rFont val="Tahoma"/>
            <family val="2"/>
          </rPr>
          <t>Required;
50-character maximum</t>
        </r>
      </text>
    </comment>
    <comment ref="W5" authorId="0" shapeId="0" xr:uid="{00000000-0006-0000-0600-000012000000}">
      <text>
        <r>
          <rPr>
            <b/>
            <sz val="9"/>
            <color indexed="81"/>
            <rFont val="Tahoma"/>
            <family val="2"/>
          </rPr>
          <t>Required;
Select value from list</t>
        </r>
      </text>
    </comment>
    <comment ref="X5" authorId="0" shapeId="0" xr:uid="{00000000-0006-0000-0600-000013000000}">
      <text>
        <r>
          <rPr>
            <b/>
            <sz val="9"/>
            <color indexed="81"/>
            <rFont val="Tahoma"/>
            <family val="2"/>
          </rPr>
          <t>Optional;
Free form text</t>
        </r>
      </text>
    </comment>
    <comment ref="Y5" authorId="0" shapeId="0" xr:uid="{00000000-0006-0000-0600-000014000000}">
      <text>
        <r>
          <rPr>
            <b/>
            <sz val="9"/>
            <color indexed="81"/>
            <rFont val="Tahoma"/>
            <family val="2"/>
          </rPr>
          <t>Required;
Select value from list</t>
        </r>
      </text>
    </comment>
    <comment ref="Z5" authorId="0" shapeId="0" xr:uid="{00000000-0006-0000-0600-000015000000}">
      <text>
        <r>
          <rPr>
            <b/>
            <sz val="9"/>
            <color indexed="81"/>
            <rFont val="Tahoma"/>
            <family val="2"/>
          </rPr>
          <t>Required;
Select value from list</t>
        </r>
      </text>
    </comment>
    <comment ref="AA5" authorId="0" shapeId="0" xr:uid="{00000000-0006-0000-0600-000016000000}">
      <text>
        <r>
          <rPr>
            <b/>
            <sz val="9"/>
            <color indexed="81"/>
            <rFont val="Tahoma"/>
            <family val="2"/>
          </rPr>
          <t>Required;
Start Date of agreement or Implementation Date, whichever is later</t>
        </r>
      </text>
    </comment>
    <comment ref="AB5" authorId="0" shapeId="0" xr:uid="{00000000-0006-0000-0600-000017000000}">
      <text>
        <r>
          <rPr>
            <b/>
            <sz val="9"/>
            <color indexed="81"/>
            <rFont val="Tahoma"/>
            <family val="2"/>
          </rPr>
          <t>Required;
End Date of agreement inclduing extenstion periods</t>
        </r>
      </text>
    </comment>
    <comment ref="AC5" authorId="0" shapeId="0" xr:uid="{00000000-0006-0000-0600-000018000000}">
      <text>
        <r>
          <rPr>
            <b/>
            <sz val="9"/>
            <color indexed="81"/>
            <rFont val="Tahoma"/>
            <family val="2"/>
          </rPr>
          <t>Enter the periodic routine fixed payment amount.</t>
        </r>
        <r>
          <rPr>
            <sz val="9"/>
            <color indexed="81"/>
            <rFont val="Tahoma"/>
            <family val="2"/>
          </rPr>
          <t xml:space="preserve">
</t>
        </r>
      </text>
    </comment>
    <comment ref="AD5" authorId="0" shapeId="0" xr:uid="{00000000-0006-0000-0600-000019000000}">
      <text>
        <r>
          <rPr>
            <b/>
            <sz val="9"/>
            <color indexed="81"/>
            <rFont val="Tahoma"/>
            <family val="2"/>
          </rPr>
          <t>Required;
Select value from list</t>
        </r>
      </text>
    </comment>
    <comment ref="AE5" authorId="0" shapeId="0" xr:uid="{00000000-0006-0000-0600-00001A000000}">
      <text>
        <r>
          <rPr>
            <b/>
            <sz val="9"/>
            <color indexed="81"/>
            <rFont val="Tahoma"/>
            <family val="2"/>
          </rPr>
          <t>Required;
Select value from list</t>
        </r>
      </text>
    </comment>
    <comment ref="AF5" authorId="0" shapeId="0" xr:uid="{00000000-0006-0000-0600-00001B000000}">
      <text>
        <r>
          <rPr>
            <b/>
            <sz val="9"/>
            <color indexed="81"/>
            <rFont val="Tahoma"/>
            <family val="2"/>
          </rPr>
          <t>Enter only if rate is specified in the agreement.</t>
        </r>
      </text>
    </comment>
    <comment ref="AG5" authorId="0" shapeId="0" xr:uid="{00000000-0006-0000-0600-00001C000000}">
      <text>
        <r>
          <rPr>
            <b/>
            <sz val="9"/>
            <color indexed="81"/>
            <rFont val="Tahoma"/>
            <family val="2"/>
          </rPr>
          <t>Enter Date to start the payment for the record.</t>
        </r>
      </text>
    </comment>
    <comment ref="AH5" authorId="0" shapeId="0" xr:uid="{00000000-0006-0000-0600-00001D000000}">
      <text>
        <r>
          <rPr>
            <b/>
            <sz val="9"/>
            <color indexed="81"/>
            <rFont val="Tahoma"/>
            <family val="2"/>
          </rPr>
          <t>Enter Date to end the payment for the record.
Date must be after the Start Date.</t>
        </r>
      </text>
    </comment>
    <comment ref="AM5" authorId="0" shapeId="0" xr:uid="{00000000-0006-0000-0600-00001E000000}">
      <text>
        <r>
          <rPr>
            <b/>
            <sz val="9"/>
            <color indexed="81"/>
            <rFont val="Tahoma"/>
            <family val="2"/>
          </rPr>
          <t>Deferred Inflow is defaulted to the present value of the payment;
Enter a different amount if appropriate.</t>
        </r>
      </text>
    </comment>
    <comment ref="AN5" authorId="0" shapeId="0" xr:uid="{00000000-0006-0000-0600-00001F000000}">
      <text>
        <r>
          <rPr>
            <b/>
            <sz val="9"/>
            <color indexed="81"/>
            <rFont val="Tahoma"/>
            <family val="2"/>
          </rPr>
          <t>Select value from list</t>
        </r>
        <r>
          <rPr>
            <sz val="9"/>
            <color indexed="81"/>
            <rFont val="Tahoma"/>
            <family val="2"/>
          </rPr>
          <t xml:space="preserve">
</t>
        </r>
      </text>
    </comment>
    <comment ref="AO5" authorId="0" shapeId="0" xr:uid="{00000000-0006-0000-0600-000020000000}">
      <text>
        <r>
          <rPr>
            <b/>
            <sz val="9"/>
            <color indexed="81"/>
            <rFont val="Tahoma"/>
            <family val="2"/>
          </rPr>
          <t>If a Related Party lease, enter the name of the related party.</t>
        </r>
        <r>
          <rPr>
            <sz val="9"/>
            <color indexed="81"/>
            <rFont val="Tahoma"/>
            <family val="2"/>
          </rPr>
          <t xml:space="preserve">
</t>
        </r>
      </text>
    </comment>
    <comment ref="AP5" authorId="0" shapeId="0" xr:uid="{00000000-0006-0000-0600-000021000000}">
      <text>
        <r>
          <rPr>
            <b/>
            <sz val="9"/>
            <color indexed="81"/>
            <rFont val="Tahoma"/>
            <family val="2"/>
          </rPr>
          <t>Inidcate Sale/Leaseback with a "Y"</t>
        </r>
        <r>
          <rPr>
            <sz val="9"/>
            <color indexed="81"/>
            <rFont val="Tahoma"/>
            <family val="2"/>
          </rPr>
          <t xml:space="preserve">
</t>
        </r>
      </text>
    </comment>
    <comment ref="AQ5" authorId="0" shapeId="0" xr:uid="{00000000-0006-0000-0600-000022000000}">
      <text>
        <r>
          <rPr>
            <b/>
            <sz val="9"/>
            <color indexed="81"/>
            <rFont val="Tahoma"/>
            <family val="2"/>
          </rPr>
          <t>Indicate a Lease/Leaseback with the Agreement Code of the related lease.</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<sst xmlns="http://schemas.openxmlformats.org/spreadsheetml/2006/main" count="1516" uniqueCount="693">
  <si>
    <t>AgreementTitle</t>
  </si>
  <si>
    <t>AgreementDescription</t>
  </si>
  <si>
    <t>Comments</t>
  </si>
  <si>
    <t>Active</t>
  </si>
  <si>
    <t>Description</t>
  </si>
  <si>
    <t>FullDescription</t>
  </si>
  <si>
    <t>ReportingType</t>
  </si>
  <si>
    <t>ReportingCategory</t>
  </si>
  <si>
    <t>N</t>
  </si>
  <si>
    <t>Y</t>
  </si>
  <si>
    <t>O</t>
  </si>
  <si>
    <t>C</t>
  </si>
  <si>
    <t>Agency:</t>
  </si>
  <si>
    <t>Primary Contact:</t>
  </si>
  <si>
    <t>Phone 1:</t>
  </si>
  <si>
    <t>Phone 2:</t>
  </si>
  <si>
    <t>Secondary Contact:</t>
  </si>
  <si>
    <t>Alpha Numeric (5)</t>
  </si>
  <si>
    <t>Alpha Numeric (75)</t>
  </si>
  <si>
    <t>Entity Code</t>
  </si>
  <si>
    <t>Entity Description</t>
  </si>
  <si>
    <t>00000</t>
  </si>
  <si>
    <t>State of Oklahoma</t>
  </si>
  <si>
    <t>02000</t>
  </si>
  <si>
    <t>Public Board of Accountancy</t>
  </si>
  <si>
    <t>02200</t>
  </si>
  <si>
    <t>Oklahoma Abstractors Board</t>
  </si>
  <si>
    <t>02500</t>
  </si>
  <si>
    <t>Military Department</t>
  </si>
  <si>
    <t>03000</t>
  </si>
  <si>
    <t>ABLE Commission</t>
  </si>
  <si>
    <t>03800</t>
  </si>
  <si>
    <t>Sorghum Commission</t>
  </si>
  <si>
    <t>03900</t>
  </si>
  <si>
    <t>Boll Weevil Eradication</t>
  </si>
  <si>
    <t>04000</t>
  </si>
  <si>
    <t>Agriculture Department</t>
  </si>
  <si>
    <t>04500</t>
  </si>
  <si>
    <t>Licensed Architects Board</t>
  </si>
  <si>
    <t>04700</t>
  </si>
  <si>
    <t>Indigent Defense System</t>
  </si>
  <si>
    <t>04900</t>
  </si>
  <si>
    <t>Attorney General</t>
  </si>
  <si>
    <t>05500</t>
  </si>
  <si>
    <t>State Arts Council</t>
  </si>
  <si>
    <t>06000</t>
  </si>
  <si>
    <t>Oklahoma Aeronautics Commission</t>
  </si>
  <si>
    <t>06500</t>
  </si>
  <si>
    <t>State Banking Commission</t>
  </si>
  <si>
    <t>09000</t>
  </si>
  <si>
    <t>Office of Management and Enterprise Services</t>
  </si>
  <si>
    <t>09100</t>
  </si>
  <si>
    <t>Building Bond Commission</t>
  </si>
  <si>
    <t>09200</t>
  </si>
  <si>
    <t>TSET</t>
  </si>
  <si>
    <t>10500</t>
  </si>
  <si>
    <t>Oklahoma Capitol Improvement Authority</t>
  </si>
  <si>
    <t>12500</t>
  </si>
  <si>
    <t>Department of Mines</t>
  </si>
  <si>
    <t>12700</t>
  </si>
  <si>
    <t>Commission on Children and Youth</t>
  </si>
  <si>
    <t>13100</t>
  </si>
  <si>
    <t>Department of Corrections</t>
  </si>
  <si>
    <t>14000</t>
  </si>
  <si>
    <t>Podiatry Board</t>
  </si>
  <si>
    <t>14500</t>
  </si>
  <si>
    <t>Chiropractic Examiners Board</t>
  </si>
  <si>
    <t>14800</t>
  </si>
  <si>
    <t>State Board of Behavioral Health Licensing</t>
  </si>
  <si>
    <t>16000</t>
  </si>
  <si>
    <t>Commerce Department</t>
  </si>
  <si>
    <t>17000</t>
  </si>
  <si>
    <t>Construction Industries Board</t>
  </si>
  <si>
    <t>18500</t>
  </si>
  <si>
    <t>Corporation Commission</t>
  </si>
  <si>
    <t>19000</t>
  </si>
  <si>
    <t>Cosmetology Board</t>
  </si>
  <si>
    <t>19900</t>
  </si>
  <si>
    <t>Court of Criminal Appeals</t>
  </si>
  <si>
    <t>20400</t>
  </si>
  <si>
    <t>JM Davis Memorial Commission</t>
  </si>
  <si>
    <t>21500</t>
  </si>
  <si>
    <t>State Dental Board</t>
  </si>
  <si>
    <t>21900</t>
  </si>
  <si>
    <t>District Courts</t>
  </si>
  <si>
    <t>22000</t>
  </si>
  <si>
    <t>District Attorneys Council</t>
  </si>
  <si>
    <t>26500</t>
  </si>
  <si>
    <t>Department of Education</t>
  </si>
  <si>
    <t>27000</t>
  </si>
  <si>
    <t>Election Board</t>
  </si>
  <si>
    <t>27500</t>
  </si>
  <si>
    <t>28500</t>
  </si>
  <si>
    <t>Oklahoma Funeral Board</t>
  </si>
  <si>
    <t>29000</t>
  </si>
  <si>
    <t>Employment Security Commission</t>
  </si>
  <si>
    <t>29200</t>
  </si>
  <si>
    <t>Environmental Quality Department</t>
  </si>
  <si>
    <t>29600</t>
  </si>
  <si>
    <t>Ethics Commission</t>
  </si>
  <si>
    <t>29800</t>
  </si>
  <si>
    <t>Merit Protection Commission</t>
  </si>
  <si>
    <t>30000</t>
  </si>
  <si>
    <t>State Auditor and Inspector</t>
  </si>
  <si>
    <t>30500</t>
  </si>
  <si>
    <t>Governor's Board</t>
  </si>
  <si>
    <t>30600</t>
  </si>
  <si>
    <t>Pardon and Parole Board</t>
  </si>
  <si>
    <t>30700</t>
  </si>
  <si>
    <t>Interstate Oil Compact Commission</t>
  </si>
  <si>
    <t>30800</t>
  </si>
  <si>
    <t>State Bureau of Investigation</t>
  </si>
  <si>
    <t>30900</t>
  </si>
  <si>
    <t>Civil Emergency Management</t>
  </si>
  <si>
    <t>31000</t>
  </si>
  <si>
    <t>State Fire Marshall</t>
  </si>
  <si>
    <t>32000</t>
  </si>
  <si>
    <t>Wildlife Conservation Commission</t>
  </si>
  <si>
    <t>32600</t>
  </si>
  <si>
    <t>Office of Handicap Concerns</t>
  </si>
  <si>
    <t>34000</t>
  </si>
  <si>
    <t>Department of Health</t>
  </si>
  <si>
    <t>34200</t>
  </si>
  <si>
    <t>Medicolegal Investigation Board</t>
  </si>
  <si>
    <t>34300</t>
  </si>
  <si>
    <t>Board of Examiners of Perfusionists</t>
  </si>
  <si>
    <t>Department of Transportation</t>
  </si>
  <si>
    <t>34600</t>
  </si>
  <si>
    <t>Oklahoma Space Industry Development Authority</t>
  </si>
  <si>
    <t>35000</t>
  </si>
  <si>
    <t>Historical Society</t>
  </si>
  <si>
    <t>35300</t>
  </si>
  <si>
    <t>Horse Racing Commission</t>
  </si>
  <si>
    <t>35900</t>
  </si>
  <si>
    <t>Oklahoma Energy Resources Board</t>
  </si>
  <si>
    <t>Indian Affairs Commission</t>
  </si>
  <si>
    <t>Native American Cultural Center</t>
  </si>
  <si>
    <t>36900</t>
  </si>
  <si>
    <t>38500</t>
  </si>
  <si>
    <t>Insurance Department</t>
  </si>
  <si>
    <t>40000</t>
  </si>
  <si>
    <t>Office of Juvenile Affairs</t>
  </si>
  <si>
    <t>40500</t>
  </si>
  <si>
    <t>Labor Department</t>
  </si>
  <si>
    <t>41000</t>
  </si>
  <si>
    <t>Commissioners of the Land Office</t>
  </si>
  <si>
    <t>41500</t>
  </si>
  <si>
    <t>CLEET</t>
  </si>
  <si>
    <t>42100</t>
  </si>
  <si>
    <t>Senate</t>
  </si>
  <si>
    <t>42200</t>
  </si>
  <si>
    <t>House of Representatives</t>
  </si>
  <si>
    <t>42300</t>
  </si>
  <si>
    <t>Legislative Service Bureau</t>
  </si>
  <si>
    <t>43000</t>
  </si>
  <si>
    <t>Libraries Department</t>
  </si>
  <si>
    <t>Lottery Commission</t>
  </si>
  <si>
    <t>44000</t>
  </si>
  <si>
    <t>Lieutenant Governor</t>
  </si>
  <si>
    <t>44500</t>
  </si>
  <si>
    <t>Liquefied Petroleum Gas Board</t>
  </si>
  <si>
    <t>44800</t>
  </si>
  <si>
    <t>Board of Licensure Alcohol &amp; Drug Counseling</t>
  </si>
  <si>
    <t>45000</t>
  </si>
  <si>
    <t>Medical License/Supervision Board</t>
  </si>
  <si>
    <t>45200</t>
  </si>
  <si>
    <t>DMHSAS</t>
  </si>
  <si>
    <t>46700</t>
  </si>
  <si>
    <t>Statewide Entity</t>
  </si>
  <si>
    <t>47500</t>
  </si>
  <si>
    <t>Motor Vehicle Commission</t>
  </si>
  <si>
    <t>47700</t>
  </si>
  <si>
    <t>Narcotics/Dangerous Drugs Control</t>
  </si>
  <si>
    <t>50900</t>
  </si>
  <si>
    <t>Board of Nursing Homes</t>
  </si>
  <si>
    <t>51000</t>
  </si>
  <si>
    <t>Nurse Registration &amp; Education Board</t>
  </si>
  <si>
    <t>52000</t>
  </si>
  <si>
    <t>Optometry Board</t>
  </si>
  <si>
    <t>52500</t>
  </si>
  <si>
    <t>Osteopathic Examiners Board</t>
  </si>
  <si>
    <t>56000</t>
  </si>
  <si>
    <t>Pharmacy Board</t>
  </si>
  <si>
    <t>56300</t>
  </si>
  <si>
    <t>Private Vocational Schools Board</t>
  </si>
  <si>
    <t>56600</t>
  </si>
  <si>
    <t>Tourism &amp; Recreation Department</t>
  </si>
  <si>
    <t>57000</t>
  </si>
  <si>
    <t>Professional Engineers &amp; Land Surveyors Board</t>
  </si>
  <si>
    <t>57500</t>
  </si>
  <si>
    <t>Psychologists Examiners Board</t>
  </si>
  <si>
    <t>58200</t>
  </si>
  <si>
    <t>State Bond Advisor</t>
  </si>
  <si>
    <t>58500</t>
  </si>
  <si>
    <t>Public Safety Department</t>
  </si>
  <si>
    <t>58800</t>
  </si>
  <si>
    <t>Real Estate Commission</t>
  </si>
  <si>
    <t>61900</t>
  </si>
  <si>
    <t>Physicians Manpower Training Commission</t>
  </si>
  <si>
    <t>62200</t>
  </si>
  <si>
    <t>Licensed Social Workers Board</t>
  </si>
  <si>
    <t>62500</t>
  </si>
  <si>
    <t>Secretary of State</t>
  </si>
  <si>
    <t>62800</t>
  </si>
  <si>
    <t>Center for Advancement of Science/Technology</t>
  </si>
  <si>
    <t>62900</t>
  </si>
  <si>
    <t>Oklahoma School of Science and Math</t>
  </si>
  <si>
    <t>63000</t>
  </si>
  <si>
    <t>Securities Commission</t>
  </si>
  <si>
    <t>63200</t>
  </si>
  <si>
    <t>Speech Pathology and Audiology Board</t>
  </si>
  <si>
    <t>63500</t>
  </si>
  <si>
    <t>Consumer Credit Commission</t>
  </si>
  <si>
    <t>64500</t>
  </si>
  <si>
    <t>Conservation Commission</t>
  </si>
  <si>
    <t>65000</t>
  </si>
  <si>
    <t>Veteran Affairs Department</t>
  </si>
  <si>
    <t>67000</t>
  </si>
  <si>
    <t>JD McCarty Center</t>
  </si>
  <si>
    <t>67500</t>
  </si>
  <si>
    <t>Self-Insurance Guarantee Fund Board</t>
  </si>
  <si>
    <t>67700</t>
  </si>
  <si>
    <t>Supreme Court</t>
  </si>
  <si>
    <t>67800</t>
  </si>
  <si>
    <t>Council on Judicial Complaints</t>
  </si>
  <si>
    <t>69500</t>
  </si>
  <si>
    <t>Oklahoma Tax Commission</t>
  </si>
  <si>
    <t>74000</t>
  </si>
  <si>
    <t>Office of State Treasurer</t>
  </si>
  <si>
    <t>75300</t>
  </si>
  <si>
    <t>Uniform Building Code Commission</t>
  </si>
  <si>
    <t>75500</t>
  </si>
  <si>
    <t>Used Motor Vehicle Commission</t>
  </si>
  <si>
    <t>77200</t>
  </si>
  <si>
    <t>Board of Tests for Alcohol &amp; Drug Influence</t>
  </si>
  <si>
    <t>79000</t>
  </si>
  <si>
    <t>Veterinary Medical Examiners Board</t>
  </si>
  <si>
    <t>80000</t>
  </si>
  <si>
    <t>Department of Career and Technology Education</t>
  </si>
  <si>
    <t>80300</t>
  </si>
  <si>
    <t>Virtual Charter School Board</t>
  </si>
  <si>
    <t>80500</t>
  </si>
  <si>
    <t>Department of Rehabilitation Services</t>
  </si>
  <si>
    <t>80700</t>
  </si>
  <si>
    <t>Oklahoma Health Care Authority</t>
  </si>
  <si>
    <t>83000</t>
  </si>
  <si>
    <t>Department of Human Services</t>
  </si>
  <si>
    <t>83500</t>
  </si>
  <si>
    <t>Water Resources Board</t>
  </si>
  <si>
    <t>86500</t>
  </si>
  <si>
    <t>Workers' Compensation Court</t>
  </si>
  <si>
    <t>88000</t>
  </si>
  <si>
    <t>Will Rogers Museum</t>
  </si>
  <si>
    <t>AGREEMENT ENTITIES (Agencies)</t>
  </si>
  <si>
    <t>LenTest</t>
  </si>
  <si>
    <t>Combined for Look-up</t>
  </si>
  <si>
    <t>optional</t>
  </si>
  <si>
    <t>Code</t>
  </si>
  <si>
    <t>Sort</t>
  </si>
  <si>
    <t>SOFTWARE</t>
  </si>
  <si>
    <t>Software</t>
  </si>
  <si>
    <t>SERVICE</t>
  </si>
  <si>
    <t>Services</t>
  </si>
  <si>
    <t>INVESTMENT</t>
  </si>
  <si>
    <t>Investments</t>
  </si>
  <si>
    <t>LAND</t>
  </si>
  <si>
    <t>Land</t>
  </si>
  <si>
    <t>LANDIMPR</t>
  </si>
  <si>
    <t>Land Improvements</t>
  </si>
  <si>
    <t>BUILDING</t>
  </si>
  <si>
    <t>Buildings</t>
  </si>
  <si>
    <t>BLDGIMPR</t>
  </si>
  <si>
    <t>Building Improvements</t>
  </si>
  <si>
    <t>VEHICLES</t>
  </si>
  <si>
    <t>Vehicles</t>
  </si>
  <si>
    <t>HEAVYMACH</t>
  </si>
  <si>
    <t>Heavy Equipment</t>
  </si>
  <si>
    <t>OFFICE</t>
  </si>
  <si>
    <t>Office Equipment</t>
  </si>
  <si>
    <t>INFRASTR</t>
  </si>
  <si>
    <t>Infrastructure</t>
  </si>
  <si>
    <t>Code (10)</t>
  </si>
  <si>
    <t>Description (50)</t>
  </si>
  <si>
    <t>D</t>
  </si>
  <si>
    <t>ACTV</t>
  </si>
  <si>
    <t>COMPL</t>
  </si>
  <si>
    <t>Completed</t>
  </si>
  <si>
    <t>TERM</t>
  </si>
  <si>
    <t>Terminated</t>
  </si>
  <si>
    <t>Code (5)</t>
  </si>
  <si>
    <t>None</t>
  </si>
  <si>
    <t>Transactional</t>
  </si>
  <si>
    <t>F/S Note Only – Fixed</t>
  </si>
  <si>
    <t>F/S Note Only – Variable</t>
  </si>
  <si>
    <t>FSNoteCategory (50)</t>
  </si>
  <si>
    <t>Straight-Line</t>
  </si>
  <si>
    <t>AgrmtTitle
Uniq Test</t>
  </si>
  <si>
    <t>AgreementType</t>
  </si>
  <si>
    <t>AgreementStatus</t>
  </si>
  <si>
    <t>AdditionalAgreementCode</t>
  </si>
  <si>
    <t>AgrmtCode
Uniq Test</t>
  </si>
  <si>
    <t>ProvisionType</t>
  </si>
  <si>
    <t>ProvisionReference</t>
  </si>
  <si>
    <t>ProvisionDescription (50 characters)</t>
  </si>
  <si>
    <t>Reporting
StartDate</t>
  </si>
  <si>
    <t>Reporting
EndDate</t>
  </si>
  <si>
    <t>Annual
Rate</t>
  </si>
  <si>
    <t>Comments
Length</t>
  </si>
  <si>
    <t>Comments (300 characters maximum)</t>
  </si>
  <si>
    <t>Number of
 Payments</t>
  </si>
  <si>
    <t>Total Amount
of Payments</t>
  </si>
  <si>
    <t>Total
Interest</t>
  </si>
  <si>
    <t>Present
Value</t>
  </si>
  <si>
    <t>Payment
Timing</t>
  </si>
  <si>
    <t>Payment
Frequency</t>
  </si>
  <si>
    <t>Payment
Amount</t>
  </si>
  <si>
    <t>Advance</t>
  </si>
  <si>
    <t>MO</t>
  </si>
  <si>
    <t>AN</t>
  </si>
  <si>
    <t>GASB 87 Reporting Information by Provision &gt;&gt;&gt;</t>
  </si>
  <si>
    <t>&lt;&lt;&lt;&lt;&lt;  Base Provision Information  &gt;&gt;&gt;&gt;&gt;</t>
  </si>
  <si>
    <t>&lt;&lt;&lt;&lt;&lt;     Core Agreement (Lease) Information     &gt;&gt;&gt;&gt;&gt;</t>
  </si>
  <si>
    <t>calculated</t>
  </si>
  <si>
    <t>Related Party
Lease</t>
  </si>
  <si>
    <t>Sale - 
Leaseback</t>
  </si>
  <si>
    <t>Lease - 
Leaseback</t>
  </si>
  <si>
    <t>LT Capital Lease Liability</t>
  </si>
  <si>
    <t>Other Income</t>
  </si>
  <si>
    <t>Miscellaneous Expense</t>
  </si>
  <si>
    <t>Fixed Assets</t>
  </si>
  <si>
    <t>Accumulated Depreciation</t>
  </si>
  <si>
    <t>Buildings and Improvements</t>
  </si>
  <si>
    <t>Machinery and Equipment</t>
  </si>
  <si>
    <t>Leased Building</t>
  </si>
  <si>
    <t>Leased Equipment</t>
  </si>
  <si>
    <t>AD - Land Improvements</t>
  </si>
  <si>
    <t>AD - Building and Improvements</t>
  </si>
  <si>
    <t>AD - Machinery and Equipment</t>
  </si>
  <si>
    <t>AD - Infrastructure</t>
  </si>
  <si>
    <t>AD - Leased Equipment</t>
  </si>
  <si>
    <t>AD - Leased Buildings</t>
  </si>
  <si>
    <t>Art and Artifacts</t>
  </si>
  <si>
    <t>Capital Lease Liability</t>
  </si>
  <si>
    <t>Rent of Land</t>
  </si>
  <si>
    <t>Rent of Other Building Space</t>
  </si>
  <si>
    <t>Rent Equipment and Machinery</t>
  </si>
  <si>
    <t>Rent of Motor Vehicles</t>
  </si>
  <si>
    <t>Lease of Motor Vehicles</t>
  </si>
  <si>
    <t>Rent Telecommunications Equip</t>
  </si>
  <si>
    <t>Rent Elec Data Processing Equip</t>
  </si>
  <si>
    <t>Rent Data Processing Software</t>
  </si>
  <si>
    <t>Other Rents</t>
  </si>
  <si>
    <t>Lease Purchase - Furniture, Equip</t>
  </si>
  <si>
    <t>Lease Purchase DP Equipment</t>
  </si>
  <si>
    <t>Lease Purchase Land, Building</t>
  </si>
  <si>
    <t>Lease Purchase Telecomm</t>
  </si>
  <si>
    <t>Rent of Office Space</t>
  </si>
  <si>
    <t>Lease Purchase-Land, Buildings</t>
  </si>
  <si>
    <t>Leases Receivable</t>
  </si>
  <si>
    <t>L-T Leases Receivable</t>
  </si>
  <si>
    <t xml:space="preserve">DEF LEASE INFLOW </t>
  </si>
  <si>
    <t>Deferred inflows from Capital Leases</t>
  </si>
  <si>
    <t>DEF LEASE OUTFLOW</t>
  </si>
  <si>
    <t>Deferred Outflows from Capital Leases</t>
  </si>
  <si>
    <t>Interest Income - Leases</t>
  </si>
  <si>
    <t>Interest Expense - Leases</t>
  </si>
  <si>
    <t>CodeDescr</t>
  </si>
  <si>
    <t>Initial Period
Start Date</t>
  </si>
  <si>
    <t>Initial Period
End Date</t>
  </si>
  <si>
    <t>Incl. Options
Start Date</t>
  </si>
  <si>
    <t>Incl. Options
End Date</t>
  </si>
  <si>
    <t>Excl. Options
Start Date</t>
  </si>
  <si>
    <t>Excl. Options
End Date</t>
  </si>
  <si>
    <t>&lt;&lt;&lt;&lt;&lt;     G/L Account Selection - OMES Use Only     &gt;&gt;&gt;&gt;&gt;</t>
  </si>
  <si>
    <t>Template Column</t>
  </si>
  <si>
    <t>Guidance</t>
  </si>
  <si>
    <t>Col Ref</t>
  </si>
  <si>
    <t>A</t>
  </si>
  <si>
    <t>I</t>
  </si>
  <si>
    <t>E</t>
  </si>
  <si>
    <t>P</t>
  </si>
  <si>
    <t>F</t>
  </si>
  <si>
    <t>R</t>
  </si>
  <si>
    <t>B</t>
  </si>
  <si>
    <t>G</t>
  </si>
  <si>
    <t>H</t>
  </si>
  <si>
    <t>J</t>
  </si>
  <si>
    <t>K</t>
  </si>
  <si>
    <t>L</t>
  </si>
  <si>
    <t>M</t>
  </si>
  <si>
    <t>Q</t>
  </si>
  <si>
    <t>S</t>
  </si>
  <si>
    <t>T</t>
  </si>
  <si>
    <t>U</t>
  </si>
  <si>
    <t>V</t>
  </si>
  <si>
    <t>W</t>
  </si>
  <si>
    <t>X</t>
  </si>
  <si>
    <t>Z</t>
  </si>
  <si>
    <t>AA</t>
  </si>
  <si>
    <t>AB</t>
  </si>
  <si>
    <t>AC</t>
  </si>
  <si>
    <t>AD</t>
  </si>
  <si>
    <t>AE</t>
  </si>
  <si>
    <t>AF</t>
  </si>
  <si>
    <t>AG</t>
  </si>
  <si>
    <t>AH</t>
  </si>
  <si>
    <t>AI</t>
  </si>
  <si>
    <t>AJ</t>
  </si>
  <si>
    <t>AK</t>
  </si>
  <si>
    <t>AL</t>
  </si>
  <si>
    <t>AM</t>
  </si>
  <si>
    <t>AO</t>
  </si>
  <si>
    <t>AP</t>
  </si>
  <si>
    <t>AR</t>
  </si>
  <si>
    <t>AQ</t>
  </si>
  <si>
    <t>AS</t>
  </si>
  <si>
    <t>AT</t>
  </si>
  <si>
    <t>AU</t>
  </si>
  <si>
    <t>AgrmtCode Uniq Test</t>
  </si>
  <si>
    <t>AgrmtTitle Uniq Test</t>
  </si>
  <si>
    <t>Initial Period Start Date</t>
  </si>
  <si>
    <t>Initial Period End Date</t>
  </si>
  <si>
    <t>Incl. Options Start Date</t>
  </si>
  <si>
    <t>Incl. Options End Date</t>
  </si>
  <si>
    <t>Excl. Options Start Date</t>
  </si>
  <si>
    <t>Excl. Options End Date</t>
  </si>
  <si>
    <t>Comments Length</t>
  </si>
  <si>
    <t>Reporting StartDate</t>
  </si>
  <si>
    <t>Reporting EndDate</t>
  </si>
  <si>
    <t>Payment Amount</t>
  </si>
  <si>
    <t>Payment Frequency</t>
  </si>
  <si>
    <t>Payment Timing</t>
  </si>
  <si>
    <t>Annual Rate</t>
  </si>
  <si>
    <t>Number of Payments</t>
  </si>
  <si>
    <t>Total Amount of Payments</t>
  </si>
  <si>
    <t>Present Value</t>
  </si>
  <si>
    <t>Total Interest</t>
  </si>
  <si>
    <t>Related Party Lease</t>
  </si>
  <si>
    <t>Sale - Leaseback</t>
  </si>
  <si>
    <t>Lease - Leaseback</t>
  </si>
  <si>
    <t>calculated; no entry required</t>
  </si>
  <si>
    <t>OMES use only</t>
  </si>
  <si>
    <t>Unique Value</t>
  </si>
  <si>
    <t>Required</t>
  </si>
  <si>
    <t>NA</t>
  </si>
  <si>
    <t>Optional free form text to further describe the provision</t>
  </si>
  <si>
    <t>Y*</t>
  </si>
  <si>
    <r>
      <rPr>
        <b/>
        <sz val="11"/>
        <color theme="1"/>
        <rFont val="Calibri"/>
        <family val="2"/>
        <scheme val="minor"/>
      </rPr>
      <t>Required</t>
    </r>
    <r>
      <rPr>
        <sz val="11"/>
        <color theme="1"/>
        <rFont val="Calibri"/>
        <family val="2"/>
        <scheme val="minor"/>
      </rPr>
      <t>.  Enter the rate as an annual value.
If the rate explicitly stated in the lease, enter that value.
If no rate is explicitly stated in the lease, enter the rate in accordance with OMES guidance and instructions.</t>
    </r>
  </si>
  <si>
    <t>Select Y for YES if this situation applies.</t>
  </si>
  <si>
    <t>Type</t>
  </si>
  <si>
    <t>Entity</t>
  </si>
  <si>
    <t>Locked for link to Entity</t>
  </si>
  <si>
    <t>Lessor</t>
  </si>
  <si>
    <t>Total
Deferred Inflow</t>
  </si>
  <si>
    <t>Deferred Inflow
AmortizationMethod</t>
  </si>
  <si>
    <t>Interest Method</t>
  </si>
  <si>
    <t>Other</t>
  </si>
  <si>
    <t>S-T Lease Receivable
G/L Account</t>
  </si>
  <si>
    <t>L-T Lease Receivable
G/L Account</t>
  </si>
  <si>
    <t>S-T Deferred Inflow of Resources
G/L Account</t>
  </si>
  <si>
    <t>L-T Deferred Inflow of Resources
G/L Account</t>
  </si>
  <si>
    <t>Lease Operating Income
G/L Account</t>
  </si>
  <si>
    <t>Lease Interest Income
G/L Account</t>
  </si>
  <si>
    <t>Total Deferred Inflow</t>
  </si>
  <si>
    <t>Deferred Inflow Amortization Method</t>
  </si>
  <si>
    <t>S-T Lease Receivable G/L Account</t>
  </si>
  <si>
    <t>L-T Lease Receivable G/L Account</t>
  </si>
  <si>
    <t>S-T Deferred Inflow of Resources G/L Account</t>
  </si>
  <si>
    <t>L-T Deferred Inflow of Resources G/L Account</t>
  </si>
  <si>
    <t>Lease Operating Income G/L Account</t>
  </si>
  <si>
    <t>Lease Interest Income G/L Account</t>
  </si>
  <si>
    <t>OMES Lessor GASB 87 Reporting</t>
  </si>
  <si>
    <t>Background</t>
  </si>
  <si>
    <t>This sheet is intended to provide date entry guidance related to certain lease situations that are not single component / single fixed payment leases.</t>
  </si>
  <si>
    <t>For single component / single fixed payment amount  leases, one row in the "Base Information" sheet can be used (refer to the "Examples" sheet).</t>
  </si>
  <si>
    <t>then one row is insufficient to define the lease.  Therefore, there are specific data rules to use to enter these situations.</t>
  </si>
  <si>
    <t>The PBRM software application / system mentioned below is a tool that allows OMES to consolidate lease reporting across all agencies.</t>
  </si>
  <si>
    <t>Column D indicates that a set of rows are to be associated with the same agreement and/or provision.  Instructions are below.</t>
  </si>
  <si>
    <t>NOTE:  For single provision (component) / single fixed payment leases, select "None" from the list in column D</t>
  </si>
  <si>
    <t>Multi-Component Leases</t>
  </si>
  <si>
    <t xml:space="preserve">Multi-component leases are leases that have more than one asset or component that is to be entered into the PBRM system.  The PBRM terminology </t>
  </si>
  <si>
    <t xml:space="preserve">for the "components" is "provisions".  So, if a lease will have multiple provisions associated with it, it will require multiple lines on the </t>
  </si>
  <si>
    <t>"Base Information" sheet.  Here is how to designate a group of rows as multiple provisions (components) of the same lease:</t>
  </si>
  <si>
    <t>1.  All associated rows MUST follow each other.</t>
  </si>
  <si>
    <r>
      <t xml:space="preserve">2.  Each new provision MUST have a unique Provision Reference (column U) and a unique Provision Description (column V) </t>
    </r>
    <r>
      <rPr>
        <u/>
        <sz val="11"/>
        <color theme="1"/>
        <rFont val="Calibri"/>
        <family val="2"/>
        <scheme val="minor"/>
      </rPr>
      <t>within the agreement</t>
    </r>
    <r>
      <rPr>
        <sz val="11"/>
        <color theme="1"/>
        <rFont val="Calibri"/>
        <family val="2"/>
        <scheme val="minor"/>
      </rPr>
      <t>.</t>
    </r>
  </si>
  <si>
    <t>3.  Within an agreement, for each row that contains a new provision, select "Multi-Provision" in column D.  See the "Examples" sheet.</t>
  </si>
  <si>
    <t>4.  A Provision may have multiple payment records; refer to the Multiple Fixed Payment Amount Leases section below for that situation.</t>
  </si>
  <si>
    <t>5.  The selection in column D will carryover to column T to remind the user of the multi-record situation.</t>
  </si>
  <si>
    <t>6.  An abbreviated example appears as follows (in this example, the lease includes office space and adjacent land)</t>
  </si>
  <si>
    <t xml:space="preserve">      Note that the agreement information is the same for both records, but the provision information is different.</t>
  </si>
  <si>
    <t>AgrmCode</t>
  </si>
  <si>
    <t>Multi-
Record</t>
  </si>
  <si>
    <t>AgrmtTitle</t>
  </si>
  <si>
    <t>ProvisionDescription</t>
  </si>
  <si>
    <t>131-2020-012</t>
  </si>
  <si>
    <t>Multi-Provision</t>
  </si>
  <si>
    <t>Office Building &amp; Land Lease</t>
  </si>
  <si>
    <t>Separate land portion of lease</t>
  </si>
  <si>
    <t>Leased Land</t>
  </si>
  <si>
    <t>Building</t>
  </si>
  <si>
    <t>Building portion of lease</t>
  </si>
  <si>
    <t>Office Space</t>
  </si>
  <si>
    <t>7.  In this situation, all agreement column data values (columns D - Q) should be the same.</t>
  </si>
  <si>
    <t>8.  Column R can be different.</t>
  </si>
  <si>
    <t>9.  Column T should reflect "Multi-Provision"</t>
  </si>
  <si>
    <t>10.  Columns U and V should be different for each record within the agreement.</t>
  </si>
  <si>
    <t>11.  Column W can be the same or different for each record.</t>
  </si>
  <si>
    <t>12.  Complete the remaining columns as appropriate for the specific provision (component).</t>
  </si>
  <si>
    <t>Multi-Fixed Payment Amount Leases</t>
  </si>
  <si>
    <t xml:space="preserve">For example, a lease may state that the payment will increase 3% per year (vs. an unknown CPI value) or it may specify the dollar amount of the </t>
  </si>
  <si>
    <t>payment (i.e., $10,000 for the 1st 5 years; $15,000 for the next 5 years; $20,000 for the last 5 years).</t>
  </si>
  <si>
    <t>This scenario may occur for a single provision (component) lease or a multi-provision (component) lease.</t>
  </si>
  <si>
    <t>The entry rules for each scenario are a bit different as explained below:</t>
  </si>
  <si>
    <t>Single Provision - Multiple Fixed Amounts</t>
  </si>
  <si>
    <t>2.  Each payment amount for the provision MUST have the same Provision Reference (column U) and the same Provision Description (column V).</t>
  </si>
  <si>
    <t>3.  Within an agreement, for each row associated with the provision, select "Multi-Amount" in column D.  See the "Examples" sheet.</t>
  </si>
  <si>
    <t>4.  The selection in column D will carryover to column T to remind the user of the multi-record situation.</t>
  </si>
  <si>
    <t>5.  An abbreviated example appears as follows (in this example, the lease is for office space increasing 3% every 5 years for 15 years)</t>
  </si>
  <si>
    <t xml:space="preserve">      Note that the agreement and provision information is the same for all records, but key GASB Payment information is different.</t>
  </si>
  <si>
    <t>AV</t>
  </si>
  <si>
    <t>AW</t>
  </si>
  <si>
    <t>Payment
StartDate</t>
  </si>
  <si>
    <t>Payment
EndDate</t>
  </si>
  <si>
    <t>Multi-Amount</t>
  </si>
  <si>
    <t>Office Building</t>
  </si>
  <si>
    <t>Office space</t>
  </si>
  <si>
    <t>Straight-line</t>
  </si>
  <si>
    <t>6.  In this situation, all agreement column data values (columns D - AB) should be the same (it is all the same provision and reporting record; only the payment schedule changes).</t>
  </si>
  <si>
    <t>7.  Column T should reflect "Multi-Amount"</t>
  </si>
  <si>
    <t>8.  Note that columns AA and AB are the same for all records for the provision.</t>
  </si>
  <si>
    <t>9.  Column AC is expected to be different for each payment amount change.</t>
  </si>
  <si>
    <r>
      <t xml:space="preserve">10.  Columns AD - AF are expected to be the </t>
    </r>
    <r>
      <rPr>
        <b/>
        <sz val="11"/>
        <color theme="1"/>
        <rFont val="Calibri"/>
        <family val="2"/>
        <scheme val="minor"/>
      </rPr>
      <t>same</t>
    </r>
    <r>
      <rPr>
        <sz val="11"/>
        <color theme="1"/>
        <rFont val="Calibri"/>
        <family val="2"/>
        <scheme val="minor"/>
      </rPr>
      <t xml:space="preserve"> for all associated rows.</t>
    </r>
  </si>
  <si>
    <t>11.  Columns AG and AH should be reflective of the payment schedule and should be different for each associated row.</t>
  </si>
  <si>
    <t>12.  Columns AI and AJ will be calculated for the individual row, but not for the overall group.</t>
  </si>
  <si>
    <t>If entered, it should be entered for the first record of a provision only.</t>
  </si>
  <si>
    <t>Multiple Provisions - Multiple Fixed Amounts</t>
  </si>
  <si>
    <t>This scenario occurs when a lease has multiple provisions (components) and one of more of those provisions has multiple pre-defined fixed payment amounts.</t>
  </si>
  <si>
    <t>2.  Each payment amount for the multi-payment provision MUST have the same Provision Reference (column U) and the same Provision Description (column V).</t>
  </si>
  <si>
    <r>
      <t xml:space="preserve">3.  Within an agreement, the </t>
    </r>
    <r>
      <rPr>
        <b/>
        <sz val="11"/>
        <color theme="1"/>
        <rFont val="Calibri"/>
        <family val="2"/>
        <scheme val="minor"/>
      </rPr>
      <t>first row</t>
    </r>
    <r>
      <rPr>
        <sz val="11"/>
        <color theme="1"/>
        <rFont val="Calibri"/>
        <family val="2"/>
        <scheme val="minor"/>
      </rPr>
      <t xml:space="preserve"> of a multi-payment provision should have  "Multi-Provision" in column D.  See the "Examples" sheet.</t>
    </r>
  </si>
  <si>
    <r>
      <t xml:space="preserve">4.  Within an agreement, for each </t>
    </r>
    <r>
      <rPr>
        <b/>
        <sz val="11"/>
        <color theme="1"/>
        <rFont val="Calibri"/>
        <family val="2"/>
        <scheme val="minor"/>
      </rPr>
      <t>subsequent row</t>
    </r>
    <r>
      <rPr>
        <sz val="11"/>
        <color theme="1"/>
        <rFont val="Calibri"/>
        <family val="2"/>
        <scheme val="minor"/>
      </rPr>
      <t xml:space="preserve"> associated with the first row of the provision, select "Multi-Amount" in column D.  See the "Examples" sheet.</t>
    </r>
  </si>
  <si>
    <t>5.  All single payment provisions should have "Multi-Provision" selected in column D.  All records for the agreement should be either "Multi-Provision" or "Multi-Amount".</t>
  </si>
  <si>
    <t>6.  The selection in column D will carryover to column T to remind the user of the multi-record situation.</t>
  </si>
  <si>
    <t>7.  An abbreviated example appears as follows (in this example, the lease is for land with a set increase of amounts, office space increasing 3% every 5 years for 15 years, and a utility expense provision)</t>
  </si>
  <si>
    <t xml:space="preserve">      Note that the agreement is the same for all records , but key GASB Payment information is different.  The different provisions are highlighted.</t>
  </si>
  <si>
    <t>Utilities</t>
  </si>
  <si>
    <t>Utility expense</t>
  </si>
  <si>
    <t>8.  In this situation, all agreement column data values (columns D - Q) should be the same (all provisions are the part of the same agreement).</t>
  </si>
  <si>
    <t>9.  Column R can be different, but should be the same within the same provision.</t>
  </si>
  <si>
    <t>10.  Columns D and  T should reflect "Multi-Provision" for the first record for a multi-payment provision and "Multi-Amount" for the remaining records of the associated provision.</t>
  </si>
  <si>
    <t>11.  Columns U and V should be different for each provision within the agreement, but the same for all associate provision records.</t>
  </si>
  <si>
    <t>12.  Column W can be the same or different for each set of provision records, but should be the same for all records associated with the same provision.</t>
  </si>
  <si>
    <t>13.  Note that columns AA and AB are the same for all records for an associated provision.</t>
  </si>
  <si>
    <t>14.  Column AC is expected to be different for each payment amount change.</t>
  </si>
  <si>
    <r>
      <t xml:space="preserve">15.  Columns AD - AF are expected to be the </t>
    </r>
    <r>
      <rPr>
        <b/>
        <sz val="11"/>
        <color theme="1"/>
        <rFont val="Calibri"/>
        <family val="2"/>
        <scheme val="minor"/>
      </rPr>
      <t>same</t>
    </r>
    <r>
      <rPr>
        <sz val="11"/>
        <color theme="1"/>
        <rFont val="Calibri"/>
        <family val="2"/>
        <scheme val="minor"/>
      </rPr>
      <t xml:space="preserve"> for all associated rows of the same provision.</t>
    </r>
  </si>
  <si>
    <t>16.  Columns AG and AH should be reflective of the payment schedule and should be different for each associated row.</t>
  </si>
  <si>
    <t>17.  Columns AI and AJ will be calculated for the individual row, but not for the overall group.</t>
  </si>
  <si>
    <t xml:space="preserve">However, if a lease has multiple components and/or has pre-defined changing fixed payments (i.e., 3% increase per year or a set payment schedule), </t>
  </si>
  <si>
    <t>Enter leases in the list below that are to be excluded from GASB87 reporting along with the reason for the exclusion.</t>
  </si>
  <si>
    <t>Agency</t>
  </si>
  <si>
    <t>Lease Reference</t>
  </si>
  <si>
    <t>Description of Lease (optional)</t>
  </si>
  <si>
    <t>Reason for Exclusion</t>
  </si>
  <si>
    <t>DO NOT USE THIS ROW</t>
  </si>
  <si>
    <r>
      <t xml:space="preserve">If more rows are needed, insert rows </t>
    </r>
    <r>
      <rPr>
        <b/>
        <u/>
        <sz val="11"/>
        <color rgb="FFFF0000"/>
        <rFont val="Calibri"/>
        <family val="2"/>
        <scheme val="minor"/>
      </rPr>
      <t>ABOVE</t>
    </r>
    <r>
      <rPr>
        <sz val="11"/>
        <color theme="1"/>
        <rFont val="Calibri"/>
        <family val="2"/>
        <scheme val="minor"/>
      </rPr>
      <t xml:space="preserve"> this row and copy the formula from column A to those rows.</t>
    </r>
  </si>
  <si>
    <t>(required; unique)</t>
  </si>
  <si>
    <t>AgreementCode</t>
  </si>
  <si>
    <t>NOTE:  Once all records are entered, delete unused rows.</t>
  </si>
  <si>
    <t xml:space="preserve"> (300 characters maximum)</t>
  </si>
  <si>
    <t>Multi-
Record2</t>
  </si>
  <si>
    <t>(50 characters)</t>
  </si>
  <si>
    <t>General Instructions</t>
  </si>
  <si>
    <t>The lease information is added on the "Base Information" sheet.</t>
  </si>
  <si>
    <t>The data entered into this template will be imported into the OMES PBRM lease reporting software application.</t>
  </si>
  <si>
    <t>The PBRM software application is a tool that allows OMES to consolidate lease reporting across all agencies.</t>
  </si>
  <si>
    <t>The template has been designed to accommodate most types of leases, but there may some exceptions.  Contact OMES if you have difficulties entering a lease.</t>
  </si>
  <si>
    <t>Column by Column instructions are just below these General Instructions.</t>
  </si>
  <si>
    <r>
      <t xml:space="preserve">Row 3 of the "Base Information" sheet is intended to provide a </t>
    </r>
    <r>
      <rPr>
        <b/>
        <sz val="11"/>
        <color theme="1"/>
        <rFont val="Calibri"/>
        <family val="2"/>
        <scheme val="minor"/>
      </rPr>
      <t>WARNING</t>
    </r>
    <r>
      <rPr>
        <sz val="11"/>
        <color theme="1"/>
        <rFont val="Calibri"/>
        <family val="2"/>
        <scheme val="minor"/>
      </rPr>
      <t xml:space="preserve"> of </t>
    </r>
    <r>
      <rPr>
        <u/>
        <sz val="11"/>
        <color theme="1"/>
        <rFont val="Calibri"/>
        <family val="2"/>
        <scheme val="minor"/>
      </rPr>
      <t>POTENTIAL</t>
    </r>
    <r>
      <rPr>
        <sz val="11"/>
        <color theme="1"/>
        <rFont val="Calibri"/>
        <family val="2"/>
        <scheme val="minor"/>
      </rPr>
      <t xml:space="preserve"> errors.  The indication is not absolute.</t>
    </r>
  </si>
  <si>
    <t>Each column has specific rules and the "error" may indicate an exception to the rule, but the exception may be legitimate and the data can be imported.</t>
  </si>
  <si>
    <t>Once the sheet is final, remove unused rows and most of the error warnings will disappear.</t>
  </si>
  <si>
    <t>The last row in the list is intended to contain all default settings and formulas.</t>
  </si>
  <si>
    <t>The "Examples" sheet is intended to provide examples of different types of leases as well as general data guidance.</t>
  </si>
  <si>
    <t>Column by Column Instructions</t>
  </si>
  <si>
    <t>Please refer to the "Multi-Record Entries" sheet for leases that have multiple components or have pre-defined amounts that change over the term of the lease.</t>
  </si>
  <si>
    <t>This template is intended for leases where the agency is leasing an asset to another party (the agency is the Lessor).</t>
  </si>
  <si>
    <t>Locked for Lessor</t>
  </si>
  <si>
    <t>AgreementCode (required; unique with exceptions)</t>
  </si>
  <si>
    <t>Y
with exceptions</t>
  </si>
  <si>
    <r>
      <t xml:space="preserve">The Agreement Code is a required unique 12-character entry.
OK OMES has established a convention of:
     the 3 digit Agency code,
     a dash,
     the 4-digit starting year of the lease, 
     a dash, 
     a 3-digit numerical count of the lease for the agency and year.
     No spaces.
As an example:  020-2020-004 would be the 4th lease starting in 2020 for agency 020.
This convention will ensure a unique code across all agencies.
NOTE: If the lease count for an individual year exceeds 999; please contact OK OMES for instructions.
</t>
    </r>
    <r>
      <rPr>
        <b/>
        <u/>
        <sz val="11"/>
        <color theme="1"/>
        <rFont val="Calibri"/>
        <family val="2"/>
        <scheme val="minor"/>
      </rPr>
      <t>Exceptions</t>
    </r>
    <r>
      <rPr>
        <sz val="11"/>
        <color theme="1"/>
        <rFont val="Calibri"/>
        <family val="2"/>
        <scheme val="minor"/>
      </rPr>
      <t>:  See the "Multi-Record Entries" sheet / section for multi-provision leases and defined multi-amount payments.</t>
    </r>
  </si>
  <si>
    <t>Multi-Record</t>
  </si>
  <si>
    <t>Required entry; select a value from the list.
For single row records, select "None" from the dropdown list.
See "Multi-Record Entries" sheet for detail instructions for mulit-row records.</t>
  </si>
  <si>
    <t>This column will indicate if the value in column C is not unique.  It will display the count of the code entered in column C.  If the count is greater than 1, the cell will be in yellow.  The only time this is acceptable is if there are multiple rows entered for the same lease.  NO ENTRY.</t>
  </si>
  <si>
    <t>AgreementTitle (required; unique with exceptions)</t>
  </si>
  <si>
    <r>
      <t xml:space="preserve">The Agreement Title is a required unique 75-character field.
OK OMES has established a convention of prefixing the Title with the 3-digit agency code and 4-digit lease start year to help ensure uniqueness.
The remainder of the description is at the discretion of the agency to help identify the lease.  Vendor or Tenant name may be included for reference as well as a PO Reference.
As an example: 131-2016 Office Rental - Tulsa; PO #######
</t>
    </r>
    <r>
      <rPr>
        <b/>
        <u/>
        <sz val="11"/>
        <color theme="1"/>
        <rFont val="Calibri"/>
        <family val="2"/>
        <scheme val="minor"/>
      </rPr>
      <t>Exceptions</t>
    </r>
    <r>
      <rPr>
        <sz val="11"/>
        <color theme="1"/>
        <rFont val="Calibri"/>
        <family val="2"/>
        <scheme val="minor"/>
      </rPr>
      <t>:  See the See "Multi-Record Entries" sheet / section for multi-provision leases and defined multi-amount payments.</t>
    </r>
  </si>
  <si>
    <t>If lease extension or renewal options are to be included in the overall lease term in accordance with GASB87 extension rules (see OMES guidance), enter the latest end date of the included extensions.
If used, this should be the end date of last extension that is included in the lease term.</t>
  </si>
  <si>
    <t>If lease extension or renewal options are to be excluded from the overall lease term in accordance with GASB87 extension rules (see OMES guidance), enter the latest end date of the excluded extensions.
If used, this should be the end date of last extension that is excluded from the lease term.</t>
  </si>
  <si>
    <t>This is a validation of the text length in column R. NO ENTRY.</t>
  </si>
  <si>
    <t>Mulit-Record2</t>
  </si>
  <si>
    <t>This contains the same value as column D and is placed here to remind the user that this group of rows has special rules if the value is other than "None".</t>
  </si>
  <si>
    <r>
      <rPr>
        <b/>
        <sz val="11"/>
        <color theme="1"/>
        <rFont val="Calibri"/>
        <family val="2"/>
        <scheme val="minor"/>
      </rPr>
      <t>Required</t>
    </r>
    <r>
      <rPr>
        <sz val="11"/>
        <color theme="1"/>
        <rFont val="Calibri"/>
        <family val="2"/>
        <scheme val="minor"/>
      </rPr>
      <t>. Periodic fixed payment amount currently in effect.
If the amounts of the fixed payment are pre-defined and can be calculated, see guidance on the "Multi-Record Entries" sheet.</t>
    </r>
  </si>
  <si>
    <t>Payment StartDate</t>
  </si>
  <si>
    <t>Payment EndDate</t>
  </si>
  <si>
    <t>Some leases define future changes in the payment amount in a manner that allows for the amount of the fixed payments to be determined in advance.</t>
  </si>
  <si>
    <r>
      <t xml:space="preserve">In either scenario there will be multiple lines </t>
    </r>
    <r>
      <rPr>
        <b/>
        <u/>
        <sz val="11"/>
        <color theme="1"/>
        <rFont val="Calibri"/>
        <family val="2"/>
        <scheme val="minor"/>
      </rPr>
      <t>per provision</t>
    </r>
    <r>
      <rPr>
        <sz val="11"/>
        <color theme="1"/>
        <rFont val="Calibri"/>
        <family val="2"/>
        <scheme val="minor"/>
      </rPr>
      <t>.</t>
    </r>
  </si>
  <si>
    <t>calc on import</t>
  </si>
  <si>
    <t>13.  Columns AK - AM will be calculated when the data is imported.</t>
  </si>
  <si>
    <t>14.  Column AM (Total Deferred Inflow) will be calculated when the data is imported UNLESS a value is entered in this cell to override the calculated amount.</t>
  </si>
  <si>
    <t>16.  Complete the remaining columns as appropriate for the specific provision (component).  All columns should be the same for the provision.</t>
  </si>
  <si>
    <t>18.  Columns AK - AM will be calculated when the data is imported.</t>
  </si>
  <si>
    <t>19.  Column AM (Total Deferred Inflow) will be calculated when the data is imported UNLESS a value is entered in this cell to override the calculated amount.</t>
  </si>
  <si>
    <t>15.  Column AN should be the same for all associated records.</t>
  </si>
  <si>
    <t>20.  Column AN should be the same for all associated records of the same provision.</t>
  </si>
  <si>
    <t>21.  Complete the remaining columns as appropriate for the specific provision (component).  All columns should be the same within the same provision.</t>
  </si>
  <si>
    <t>Example Set 1:  Leases with a Single Provision (component) and a Single Pre-defined Fixed Payment Amount</t>
  </si>
  <si>
    <t>000-2019-001</t>
  </si>
  <si>
    <t>000-2019 Police Car Agreement #000001</t>
  </si>
  <si>
    <t>Police Car Agreement #000001; City Car Company</t>
  </si>
  <si>
    <t>000-2016-001</t>
  </si>
  <si>
    <t>000-2016 Office Rental - Tulsa</t>
  </si>
  <si>
    <t>2016 Office Rental at 1130 Main St, Tulsa from ABC Real Properties</t>
  </si>
  <si>
    <t>Arrears</t>
  </si>
  <si>
    <t>029-2019-XXX</t>
  </si>
  <si>
    <t>Example Set 2:  Leases with a Muliple Provisions (components) and each with a Single Pre-defined Fixed Payment Amount</t>
  </si>
  <si>
    <t>000-2018-001</t>
  </si>
  <si>
    <t>000-1018 - Office Building &amp; Land Lease - PO 875893020</t>
  </si>
  <si>
    <t>enter description of your choice</t>
  </si>
  <si>
    <t>Adjacent Land</t>
  </si>
  <si>
    <t>Land adjacent to office space</t>
  </si>
  <si>
    <t>Administrative offices</t>
  </si>
  <si>
    <t>Utility services</t>
  </si>
  <si>
    <t>Electric and water expenses</t>
  </si>
  <si>
    <t>000-2019-005</t>
  </si>
  <si>
    <t>000-2019 - Vehicle Lease - PO 263778921</t>
  </si>
  <si>
    <t>PUBLIC-35467</t>
  </si>
  <si>
    <t>Ford Explorer - VIN ####1</t>
  </si>
  <si>
    <t>PUBLIC-37673</t>
  </si>
  <si>
    <t>Ford Expedition - VIN ####2</t>
  </si>
  <si>
    <t>Example Set 3:  Leases with a Single Provision (component) and with a Multiple Pre-defined Fixed Payment Amounts</t>
  </si>
  <si>
    <t>000-2020-012</t>
  </si>
  <si>
    <t>000-2020 - Maintenance Facility - OKC West - PO 245357289</t>
  </si>
  <si>
    <t>Maintenance facility on the west side of OKC</t>
  </si>
  <si>
    <t>Example Set 4:  Leases with Mulitple Provisions (components) and with a Multiple Pre-defined Fixed Payment Amounts</t>
  </si>
  <si>
    <t>000-2020-025</t>
  </si>
  <si>
    <t>Tax assessment temporary offices</t>
  </si>
  <si>
    <t>temporary office until new building is completed</t>
  </si>
  <si>
    <t>adjacent land for parking</t>
  </si>
  <si>
    <t>Storage Area</t>
  </si>
  <si>
    <t>Storage area away from main builing</t>
  </si>
  <si>
    <t>Equip Garage</t>
  </si>
  <si>
    <t>Equipment garage</t>
  </si>
  <si>
    <t>Formula  Row</t>
  </si>
  <si>
    <t>Formula Row - Do Not Delete - Copy if needed</t>
  </si>
  <si>
    <t>Lease Interest Income
G/L Account2</t>
  </si>
  <si>
    <t>117000: Leases Receivable</t>
  </si>
  <si>
    <t>DEF LEASE INFLOW : Deferred inflows from Capital Leases</t>
  </si>
  <si>
    <t>480000: Other Income</t>
  </si>
  <si>
    <t>440000: Interest Income - Leases</t>
  </si>
  <si>
    <t>187000: L-T Leases Receivable</t>
  </si>
  <si>
    <r>
      <t xml:space="preserve">Formula Row - </t>
    </r>
    <r>
      <rPr>
        <b/>
        <sz val="11"/>
        <color theme="1"/>
        <rFont val="Calibri"/>
        <family val="2"/>
        <scheme val="minor"/>
      </rPr>
      <t>DO NOT DELETE</t>
    </r>
    <r>
      <rPr>
        <sz val="11"/>
        <color theme="1"/>
        <rFont val="Calibri"/>
        <family val="2"/>
        <scheme val="minor"/>
      </rPr>
      <t xml:space="preserve"> - Copy of Needed</t>
    </r>
  </si>
  <si>
    <t>*</t>
  </si>
  <si>
    <t>Email:</t>
  </si>
  <si>
    <t xml:space="preserve">*
</t>
  </si>
  <si>
    <t>* - required</t>
  </si>
  <si>
    <t>If new rows are needed, contact your OMES Financial Reporting Analyst.</t>
  </si>
  <si>
    <t>This column will indicate if the value in column F is not unique.  It will display the count of the title entered in column F.  If the count is greater than 1, the cell will be in yellow.  The only time this is acceptable is if there are multiple rows entered for the same lease.  NO ENTRY.</t>
  </si>
  <si>
    <t>This is an optional 12-character code to be used at the discretion of the agency;
If the optional contract number or reference is more than 12 characters, it can be added to the Agreement Title or the Agreement Description at the discretion of the agency.</t>
  </si>
  <si>
    <t>Optional free form text to describe the lease.  Vendor or tenant name may be included for reference; the PO may also be placed in this field if the agency wishes to do so.  This is left to the discretion of the agency.</t>
  </si>
  <si>
    <t>If lease extension or renewal options are to be included in the overall lease term in accordance with GASB87 extension rules (see OMES guidance), enter the earliest start date of the extensions.
If used, this should be one day after the initial period end date.</t>
  </si>
  <si>
    <t>Initial start date of the lease (required)</t>
  </si>
  <si>
    <t>Initial end date of the lease (required)
This is the end date of the initial non-cancellable term of the lease.</t>
  </si>
  <si>
    <t>If lease extension or renewal options are to be excluded from the overall lease term in accordance with GASB87 extension rules (see OMES guidance), enter the earliest start date of the extensions.
If used, this should be one day after the initial period end date or one day after the included options end date.</t>
  </si>
  <si>
    <t>Optional comments to document reasons for including or excluding option periods or why a lease does not meet the GASB87 reporting requirements and is excluded.
This is a 300-character free form text field.</t>
  </si>
  <si>
    <r>
      <t xml:space="preserve">This is a 12-character maximum </t>
    </r>
    <r>
      <rPr>
        <b/>
        <sz val="11"/>
        <color theme="1"/>
        <rFont val="Calibri"/>
        <family val="2"/>
        <scheme val="minor"/>
      </rPr>
      <t>required</t>
    </r>
    <r>
      <rPr>
        <sz val="11"/>
        <color theme="1"/>
        <rFont val="Calibri"/>
        <family val="2"/>
        <scheme val="minor"/>
      </rPr>
      <t xml:space="preserve"> field used to identify the specific provision.
If the lease has only one GASB87 reporting provision, the reference is defaulted to the agreement code.  This can be overridden if desired.
If the lease has multiple GASB87 reporting provisions, the reference should be used to help identify the specific provision.
See the discussion on the "Multi-Record Entries" sheet for multi-component leases and leases with pre-defined changing amounts.</t>
    </r>
  </si>
  <si>
    <r>
      <t xml:space="preserve">This is a 50-character maximum </t>
    </r>
    <r>
      <rPr>
        <b/>
        <sz val="11"/>
        <color theme="1"/>
        <rFont val="Calibri"/>
        <family val="2"/>
        <scheme val="minor"/>
      </rPr>
      <t>required</t>
    </r>
    <r>
      <rPr>
        <sz val="11"/>
        <color theme="1"/>
        <rFont val="Calibri"/>
        <family val="2"/>
        <scheme val="minor"/>
      </rPr>
      <t xml:space="preserve"> field used to further identify the specific provision.
If the lease has only one GASB87 reporting provision, the description is defaulted to the first 50 characters of the agreement title.  This can be overridden if desired.
If the lease has multiple GASB87 reporting provisions, the description should be used to help further identify the specific provision.
See the discussion on the "Multi-Record Entries" sheet for multi-component leases and leases with pre-defined changing amounts.</t>
    </r>
  </si>
  <si>
    <t>Required; see drop-down list for valid choices
The value is defaulted to the Agreement Type, but can be overridden.</t>
  </si>
  <si>
    <t>Required; see drop-down list for valid choices</t>
  </si>
  <si>
    <t>Required.  see drop-down list for valid choices.
Straight-line method is the standard and default.</t>
  </si>
  <si>
    <t xml:space="preserve">Y* = </t>
  </si>
  <si>
    <t>If the Reporting Type in column Y is equal to "None", then this field is blacked out and not required.</t>
  </si>
  <si>
    <t>Required; see drop-down list for valid choices
There are default settings based upon dates entered in columns L - Q (initial and included option dates).
The reporting type default setting can be overridden.
If the reporting type is set to "None", remaining fields are blacked out.</t>
  </si>
  <si>
    <t>Required; see drop-down list for valid choices
The value is defaulted to the provision type, but can be overridden.</t>
  </si>
  <si>
    <r>
      <rPr>
        <b/>
        <sz val="11"/>
        <color theme="1"/>
        <rFont val="Calibri"/>
        <family val="2"/>
        <scheme val="minor"/>
      </rPr>
      <t>Required</t>
    </r>
    <r>
      <rPr>
        <sz val="11"/>
        <color theme="1"/>
        <rFont val="Calibri"/>
        <family val="2"/>
        <scheme val="minor"/>
      </rPr>
      <t>. Generally the start date of agreement OR the first GASB 87 reporting period, whichever is LATER</t>
    </r>
  </si>
  <si>
    <r>
      <rPr>
        <b/>
        <sz val="11"/>
        <color theme="1"/>
        <rFont val="Calibri"/>
        <family val="2"/>
        <scheme val="minor"/>
      </rPr>
      <t>Required</t>
    </r>
    <r>
      <rPr>
        <sz val="11"/>
        <color theme="1"/>
        <rFont val="Calibri"/>
        <family val="2"/>
        <scheme val="minor"/>
      </rPr>
      <t>.  Generally the last date of the lease for GASB87 reporting, including the "Included Options End Date".
This value is defaulted to the  date in column "O" (incl. options end date) if one exists.  If not, then the date from column "M" (initial period end date) is used.
Dates can be overridden if appropriate to do so.</t>
    </r>
  </si>
  <si>
    <r>
      <rPr>
        <b/>
        <sz val="11"/>
        <color theme="1"/>
        <rFont val="Calibri"/>
        <family val="2"/>
        <scheme val="minor"/>
      </rPr>
      <t>Required</t>
    </r>
    <r>
      <rPr>
        <sz val="11"/>
        <color theme="1"/>
        <rFont val="Calibri"/>
        <family val="2"/>
        <scheme val="minor"/>
      </rPr>
      <t>. See drop-down list for valid choices.
This frequency should be in synch with the amount of the payment.
Note: The if the payment frequency is more frequent that once a month, convert the payments to monthly for this calculation and enter the monthly amount in column AC.
For example, if the payment is $1,000 per week, convert that to $4,333.33 per month (1,000 * 52 / 12).</t>
    </r>
  </si>
  <si>
    <r>
      <rPr>
        <b/>
        <sz val="11"/>
        <color theme="1"/>
        <rFont val="Calibri"/>
        <family val="2"/>
        <scheme val="minor"/>
      </rPr>
      <t>Required</t>
    </r>
    <r>
      <rPr>
        <sz val="11"/>
        <color theme="1"/>
        <rFont val="Calibri"/>
        <family val="2"/>
        <scheme val="minor"/>
      </rPr>
      <t>. See drop-down list for valid choices
Advance = payment at the beginning of the period
Arrears = payment at the end of the period</t>
    </r>
  </si>
  <si>
    <r>
      <rPr>
        <b/>
        <sz val="11"/>
        <color theme="1"/>
        <rFont val="Calibri"/>
        <family val="2"/>
        <scheme val="minor"/>
      </rPr>
      <t>Required</t>
    </r>
    <r>
      <rPr>
        <sz val="11"/>
        <color theme="1"/>
        <rFont val="Calibri"/>
        <family val="2"/>
        <scheme val="minor"/>
      </rPr>
      <t xml:space="preserve">. The start date of the current fixed payment amount.
This may be the lease start date or some date after that date.
</t>
    </r>
    <r>
      <rPr>
        <b/>
        <sz val="11"/>
        <color theme="1"/>
        <rFont val="Calibri"/>
        <family val="2"/>
        <scheme val="minor"/>
      </rPr>
      <t>This date must be equal to or before the reporting start date.</t>
    </r>
    <r>
      <rPr>
        <sz val="11"/>
        <color theme="1"/>
        <rFont val="Calibri"/>
        <family val="2"/>
        <scheme val="minor"/>
      </rPr>
      <t xml:space="preserve">
</t>
    </r>
    <r>
      <rPr>
        <b/>
        <u/>
        <sz val="11"/>
        <color theme="1"/>
        <rFont val="Calibri"/>
        <family val="2"/>
        <scheme val="minor"/>
      </rPr>
      <t>NOTE</t>
    </r>
    <r>
      <rPr>
        <sz val="11"/>
        <color theme="1"/>
        <rFont val="Calibri"/>
        <family val="2"/>
        <scheme val="minor"/>
      </rPr>
      <t>: For Multi-Amount records, this date will be vary.</t>
    </r>
  </si>
  <si>
    <r>
      <rPr>
        <b/>
        <sz val="11"/>
        <color theme="1"/>
        <rFont val="Calibri"/>
        <family val="2"/>
        <scheme val="minor"/>
      </rPr>
      <t>Required</t>
    </r>
    <r>
      <rPr>
        <sz val="11"/>
        <color theme="1"/>
        <rFont val="Calibri"/>
        <family val="2"/>
        <scheme val="minor"/>
      </rPr>
      <t xml:space="preserve">. Generally this will be the same as the Reporting End Date.
</t>
    </r>
    <r>
      <rPr>
        <b/>
        <u/>
        <sz val="11"/>
        <color theme="1"/>
        <rFont val="Calibri"/>
        <family val="2"/>
        <scheme val="minor"/>
      </rPr>
      <t>NOTE</t>
    </r>
    <r>
      <rPr>
        <sz val="11"/>
        <color theme="1"/>
        <rFont val="Calibri"/>
        <family val="2"/>
        <scheme val="minor"/>
      </rPr>
      <t>: For multi-amount records, this date will be vary.</t>
    </r>
  </si>
  <si>
    <r>
      <rPr>
        <b/>
        <sz val="11"/>
        <color theme="1"/>
        <rFont val="Calibri"/>
        <family val="2"/>
        <scheme val="minor"/>
      </rPr>
      <t>Required</t>
    </r>
    <r>
      <rPr>
        <sz val="11"/>
        <color theme="1"/>
        <rFont val="Calibri"/>
        <family val="2"/>
        <scheme val="minor"/>
      </rPr>
      <t xml:space="preserve">.  This is the total amount of the deferred inflow of resources associated with the lease item.
The default is the present value of the lease payments.
Amount can be overridden.
</t>
    </r>
    <r>
      <rPr>
        <b/>
        <u/>
        <sz val="11"/>
        <color theme="1"/>
        <rFont val="Calibri"/>
        <family val="2"/>
        <scheme val="minor"/>
      </rPr>
      <t>NOTE</t>
    </r>
    <r>
      <rPr>
        <sz val="11"/>
        <color theme="1"/>
        <rFont val="Calibri"/>
        <family val="2"/>
        <scheme val="minor"/>
      </rPr>
      <t>:  For Multi-Amount records, this amount will be calculated when the data is imported and set to the present value of the stream of payments.</t>
    </r>
  </si>
  <si>
    <t>Enter name of related party if this situation applies.</t>
  </si>
  <si>
    <t>Enter the lease number of the related lease if this situation applies.</t>
  </si>
  <si>
    <t>08500</t>
  </si>
  <si>
    <t>Oklahoma Broadband Office</t>
  </si>
  <si>
    <t>45500</t>
  </si>
  <si>
    <t>Medical Marijuana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</si>
</sst>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15" x14ac:knownFonts="1">
    <font>
      <sz val="11"/>
      <color theme="1"/>
      <name val="Calibri"/>
      <family val="2"/>
      <scheme val="minor"/>
    </font>
    <font>
      <b/>
      <sz val="11"/>
      <color theme="1"/>
      <name val="Calibri"/>
      <family val="2"/>
      <scheme val="minor"/>
    </font>
    <font>
      <b/>
      <sz val="12"/>
      <color theme="1"/>
      <name val="Calibri"/>
      <family val="2"/>
      <scheme val="minor"/>
    </font>
    <font>
      <sz val="10"/>
      <color indexed="8"/>
      <name val="MS Sans Serif"/>
    </font>
    <font>
      <b/>
      <sz val="10"/>
      <color indexed="8"/>
      <name val="Arial"/>
      <family val="2"/>
    </font>
    <font>
      <sz val="10"/>
      <color theme="1"/>
      <name val="Calibri"/>
      <family val="2"/>
      <scheme val="minor"/>
    </font>
    <font>
      <sz val="9"/>
      <color indexed="81"/>
      <name val="Tahoma"/>
      <family val="2"/>
    </font>
    <font>
      <b/>
      <sz val="9"/>
      <color indexed="81"/>
      <name val="Tahoma"/>
      <family val="2"/>
    </font>
    <font>
      <sz val="11"/>
      <name val="Calibri"/>
      <family val="2"/>
      <scheme val="minor"/>
    </font>
    <font>
      <sz val="8"/>
      <name val="Calibri"/>
      <family val="2"/>
      <scheme val="minor"/>
    </font>
    <font>
      <b/>
      <sz val="11"/>
      <name val="Calibri"/>
      <family val="2"/>
      <scheme val="minor"/>
    </font>
    <font>
      <b/>
      <sz val="11"/>
      <color theme="0"/>
      <name val="Calibri"/>
      <family val="2"/>
      <scheme val="minor"/>
    </font>
    <font>
      <u/>
      <sz val="11"/>
      <color theme="1"/>
      <name val="Calibri"/>
      <family val="2"/>
      <scheme val="minor"/>
    </font>
    <font>
      <b/>
      <u/>
      <sz val="11"/>
      <color rgb="FFFF0000"/>
      <name val="Calibri"/>
      <family val="2"/>
      <scheme val="minor"/>
    </font>
    <font>
      <b/>
      <u/>
      <sz val="11"/>
      <color theme="1"/>
      <name val="Calibri"/>
      <family val="2"/>
      <scheme val="minor"/>
    </font>
  </fonts>
  <fills count="23">
    <fill>
      <patternFill patternType="none"/>
    </fill>
    <fill>
      <patternFill patternType="gray125"/>
    </fill>
    <fill>
      <patternFill patternType="solid">
        <fgColor theme="4" tint="0.59999389629810485"/>
        <bgColor indexed="64"/>
      </patternFill>
    </fill>
    <fill>
      <patternFill patternType="solid">
        <fgColor indexed="2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5"/>
        <bgColor indexed="64"/>
      </patternFill>
    </fill>
    <fill>
      <patternFill patternType="solid">
        <fgColor theme="8" tint="0.59999389629810485"/>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rgb="FFFF000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bgColor theme="4"/>
      </patternFill>
    </fill>
    <fill>
      <patternFill patternType="solid">
        <fgColor theme="0" tint="-0.14999847407452621"/>
        <bgColor indexed="64"/>
      </patternFill>
    </fill>
    <fill>
      <patternFill patternType="solid">
        <fgColor theme="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92D050"/>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theme="4" tint="0.39997558519241921"/>
      </top>
      <bottom style="thin">
        <color theme="4" tint="0.39997558519241921"/>
      </bottom>
      <diagonal/>
    </border>
  </borders>
  <cellStyleXfs count="2">
    <xf numFmtId="0" fontId="0" fillId="0" borderId="0"/>
    <xf numFmtId="0" fontId="3" fillId="0" borderId="0"/>
  </cellStyleXfs>
  <cellXfs count="136">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4" fillId="3" borderId="1" xfId="1" applyFont="1" applyFill="1" applyBorder="1" applyAlignment="1">
      <alignment horizontal="center" vertical="center"/>
    </xf>
    <xf numFmtId="0" fontId="5" fillId="0" borderId="0" xfId="0" applyFont="1" applyBorder="1" applyAlignment="1">
      <alignment horizontal="left" vertical="center" indent="1"/>
    </xf>
    <xf numFmtId="0" fontId="0" fillId="0" borderId="0" xfId="0" applyBorder="1"/>
    <xf numFmtId="0" fontId="4" fillId="0" borderId="4" xfId="1" applyFont="1" applyBorder="1" applyAlignment="1">
      <alignment horizontal="center" vertical="center" wrapText="1"/>
    </xf>
    <xf numFmtId="0" fontId="2" fillId="2" borderId="3" xfId="0" applyFont="1" applyFill="1" applyBorder="1" applyAlignment="1">
      <alignment horizontal="centerContinuous" vertical="center" wrapText="1"/>
    </xf>
    <xf numFmtId="0" fontId="2" fillId="2" borderId="5" xfId="0" applyFont="1" applyFill="1" applyBorder="1" applyAlignment="1">
      <alignment horizontal="centerContinuous" vertical="center" wrapText="1"/>
    </xf>
    <xf numFmtId="0" fontId="0" fillId="2" borderId="5" xfId="0" applyFill="1" applyBorder="1" applyAlignment="1">
      <alignment horizontal="centerContinuous"/>
    </xf>
    <xf numFmtId="0" fontId="0" fillId="2" borderId="2" xfId="0" applyFill="1" applyBorder="1" applyAlignment="1">
      <alignment horizontal="centerContinuous"/>
    </xf>
    <xf numFmtId="0" fontId="0" fillId="0" borderId="0" xfId="0" applyAlignment="1">
      <alignment wrapText="1"/>
    </xf>
    <xf numFmtId="0" fontId="1" fillId="0" borderId="0" xfId="0" applyFont="1" applyAlignment="1">
      <alignment vertical="center"/>
    </xf>
    <xf numFmtId="0" fontId="0" fillId="0" borderId="0" xfId="0" applyAlignment="1">
      <alignment horizontal="center" wrapText="1"/>
    </xf>
    <xf numFmtId="0" fontId="0" fillId="0" borderId="0" xfId="0" applyNumberFormat="1"/>
    <xf numFmtId="14" fontId="0" fillId="0" borderId="0" xfId="0" applyNumberFormat="1" applyAlignment="1">
      <alignment horizontal="center"/>
    </xf>
    <xf numFmtId="14" fontId="0" fillId="0" borderId="0" xfId="0" applyNumberFormat="1"/>
    <xf numFmtId="14" fontId="0" fillId="0" borderId="0" xfId="0" applyNumberFormat="1" applyAlignment="1">
      <alignment horizontal="center" wrapText="1"/>
    </xf>
    <xf numFmtId="4" fontId="0" fillId="0" borderId="0" xfId="0" applyNumberFormat="1"/>
    <xf numFmtId="10" fontId="0" fillId="0" borderId="0" xfId="0" applyNumberFormat="1"/>
    <xf numFmtId="10" fontId="0" fillId="0" borderId="0" xfId="0" applyNumberFormat="1" applyAlignment="1">
      <alignment horizontal="center" wrapText="1"/>
    </xf>
    <xf numFmtId="4" fontId="0" fillId="0" borderId="0" xfId="0" applyNumberFormat="1" applyAlignment="1">
      <alignment horizontal="center" wrapText="1"/>
    </xf>
    <xf numFmtId="0" fontId="0" fillId="8" borderId="0" xfId="0" applyNumberFormat="1" applyFill="1" applyAlignment="1">
      <alignment horizontal="center" wrapText="1"/>
    </xf>
    <xf numFmtId="4" fontId="0" fillId="8" borderId="0" xfId="0" applyNumberFormat="1" applyFill="1" applyAlignment="1">
      <alignment horizontal="center" wrapText="1"/>
    </xf>
    <xf numFmtId="0" fontId="0" fillId="0" borderId="0" xfId="0" applyNumberFormat="1" applyAlignment="1">
      <alignment horizontal="center"/>
    </xf>
    <xf numFmtId="0" fontId="1" fillId="6" borderId="6" xfId="0" applyFont="1" applyFill="1" applyBorder="1" applyAlignment="1">
      <alignment horizontal="center"/>
    </xf>
    <xf numFmtId="0" fontId="0" fillId="10" borderId="0" xfId="0" applyFill="1" applyAlignment="1">
      <alignment horizontal="center" wrapText="1"/>
    </xf>
    <xf numFmtId="0" fontId="1" fillId="11" borderId="3" xfId="0" applyNumberFormat="1" applyFont="1" applyFill="1" applyBorder="1" applyAlignment="1">
      <alignment horizontal="centerContinuous"/>
    </xf>
    <xf numFmtId="0" fontId="0" fillId="11" borderId="5" xfId="0" applyNumberFormat="1" applyFill="1" applyBorder="1" applyAlignment="1">
      <alignment horizontal="centerContinuous"/>
    </xf>
    <xf numFmtId="0" fontId="0" fillId="11" borderId="2" xfId="0" applyFill="1" applyBorder="1" applyAlignment="1">
      <alignment horizontal="centerContinuous"/>
    </xf>
    <xf numFmtId="0" fontId="1" fillId="12" borderId="6" xfId="0" applyFont="1" applyFill="1" applyBorder="1" applyAlignment="1">
      <alignment horizontal="center"/>
    </xf>
    <xf numFmtId="0" fontId="0" fillId="13" borderId="1" xfId="0" applyFill="1" applyBorder="1" applyAlignment="1">
      <alignment horizontal="center" vertical="top" wrapText="1"/>
    </xf>
    <xf numFmtId="0" fontId="10" fillId="13" borderId="1" xfId="0" applyFont="1" applyFill="1" applyBorder="1" applyAlignment="1">
      <alignment vertical="top" wrapText="1"/>
    </xf>
    <xf numFmtId="0" fontId="0" fillId="2" borderId="1" xfId="0" applyFill="1" applyBorder="1" applyAlignment="1">
      <alignment horizontal="center" vertical="top" wrapText="1"/>
    </xf>
    <xf numFmtId="14" fontId="10" fillId="2" borderId="1" xfId="0" applyNumberFormat="1" applyFont="1" applyFill="1" applyBorder="1" applyAlignment="1">
      <alignment vertical="top" wrapText="1"/>
    </xf>
    <xf numFmtId="0" fontId="10" fillId="2" borderId="1" xfId="0" applyFont="1" applyFill="1" applyBorder="1" applyAlignment="1">
      <alignment vertical="top" wrapText="1"/>
    </xf>
    <xf numFmtId="0" fontId="0" fillId="14" borderId="1" xfId="0" applyFill="1" applyBorder="1" applyAlignment="1">
      <alignment horizontal="center" vertical="top" wrapText="1"/>
    </xf>
    <xf numFmtId="0" fontId="10" fillId="14" borderId="1" xfId="0" applyFont="1" applyFill="1" applyBorder="1" applyAlignment="1">
      <alignment vertical="top" wrapText="1"/>
    </xf>
    <xf numFmtId="0" fontId="0" fillId="15" borderId="1" xfId="0" applyFill="1" applyBorder="1" applyAlignment="1">
      <alignment horizontal="center" vertical="top" wrapText="1"/>
    </xf>
    <xf numFmtId="0" fontId="10" fillId="15" borderId="1" xfId="0" applyFont="1" applyFill="1" applyBorder="1" applyAlignment="1">
      <alignment vertical="top" wrapText="1"/>
    </xf>
    <xf numFmtId="14" fontId="10" fillId="15" borderId="1" xfId="0" applyNumberFormat="1" applyFont="1" applyFill="1" applyBorder="1" applyAlignment="1">
      <alignment vertical="top" wrapText="1"/>
    </xf>
    <xf numFmtId="4" fontId="10" fillId="15" borderId="1" xfId="0" applyNumberFormat="1" applyFont="1" applyFill="1" applyBorder="1" applyAlignment="1">
      <alignment vertical="top" wrapText="1"/>
    </xf>
    <xf numFmtId="10" fontId="10" fillId="15" borderId="1" xfId="0" applyNumberFormat="1" applyFont="1" applyFill="1" applyBorder="1" applyAlignment="1">
      <alignment vertical="top" wrapText="1"/>
    </xf>
    <xf numFmtId="0" fontId="0" fillId="7" borderId="1" xfId="0" applyFill="1" applyBorder="1" applyAlignment="1">
      <alignment horizontal="center" vertical="top" wrapText="1"/>
    </xf>
    <xf numFmtId="0" fontId="10" fillId="7" borderId="1" xfId="0" applyFont="1" applyFill="1" applyBorder="1" applyAlignment="1">
      <alignment vertical="top" wrapText="1"/>
    </xf>
    <xf numFmtId="0" fontId="10" fillId="13" borderId="1" xfId="0" applyFont="1" applyFill="1" applyBorder="1" applyAlignment="1">
      <alignment horizontal="center" vertical="top" wrapText="1"/>
    </xf>
    <xf numFmtId="0" fontId="0" fillId="0" borderId="1" xfId="0" applyBorder="1" applyAlignment="1">
      <alignment vertical="top" wrapText="1"/>
    </xf>
    <xf numFmtId="14" fontId="10" fillId="2" borderId="1" xfId="0" applyNumberFormat="1" applyFont="1" applyFill="1" applyBorder="1" applyAlignment="1">
      <alignment horizontal="center" vertical="top" wrapText="1"/>
    </xf>
    <xf numFmtId="0" fontId="10" fillId="2" borderId="1" xfId="0" applyFont="1" applyFill="1" applyBorder="1" applyAlignment="1">
      <alignment horizontal="center" vertical="top" wrapText="1"/>
    </xf>
    <xf numFmtId="0" fontId="10" fillId="14" borderId="1" xfId="0" applyFont="1" applyFill="1" applyBorder="1" applyAlignment="1">
      <alignment horizontal="center" vertical="top" wrapText="1"/>
    </xf>
    <xf numFmtId="0" fontId="10" fillId="15" borderId="1" xfId="0" applyFont="1" applyFill="1" applyBorder="1" applyAlignment="1">
      <alignment horizontal="center" vertical="top" wrapText="1"/>
    </xf>
    <xf numFmtId="4" fontId="10" fillId="15" borderId="1" xfId="0" applyNumberFormat="1" applyFont="1" applyFill="1" applyBorder="1" applyAlignment="1">
      <alignment horizontal="center" vertical="top" wrapText="1"/>
    </xf>
    <xf numFmtId="0" fontId="10" fillId="7" borderId="1" xfId="0" applyFont="1" applyFill="1" applyBorder="1" applyAlignment="1">
      <alignment horizontal="center" vertical="top" wrapText="1"/>
    </xf>
    <xf numFmtId="0" fontId="0" fillId="0" borderId="0" xfId="0" applyAlignment="1">
      <alignment vertical="top" wrapText="1"/>
    </xf>
    <xf numFmtId="0" fontId="0" fillId="5" borderId="1" xfId="0" applyFill="1" applyBorder="1" applyProtection="1">
      <protection locked="0"/>
    </xf>
    <xf numFmtId="164" fontId="0" fillId="5" borderId="1" xfId="0" applyNumberFormat="1" applyFill="1" applyBorder="1" applyAlignment="1" applyProtection="1">
      <alignment vertical="center"/>
      <protection locked="0"/>
    </xf>
    <xf numFmtId="164" fontId="0" fillId="4" borderId="1" xfId="0" applyNumberFormat="1" applyFill="1" applyBorder="1" applyAlignment="1" applyProtection="1">
      <alignment vertical="center"/>
      <protection locked="0"/>
    </xf>
    <xf numFmtId="0" fontId="1" fillId="6" borderId="0" xfId="0" applyFont="1" applyFill="1" applyAlignment="1">
      <alignment horizontal="left" indent="2"/>
    </xf>
    <xf numFmtId="0" fontId="1" fillId="6" borderId="0" xfId="0" applyFont="1" applyFill="1"/>
    <xf numFmtId="0" fontId="0" fillId="0" borderId="0" xfId="0" applyAlignment="1">
      <alignment horizontal="left" indent="2"/>
    </xf>
    <xf numFmtId="0" fontId="11" fillId="16" borderId="7" xfId="0" applyFont="1" applyFill="1" applyBorder="1" applyAlignment="1">
      <alignment horizontal="center" wrapText="1"/>
    </xf>
    <xf numFmtId="0" fontId="11" fillId="16" borderId="7" xfId="0" applyFont="1" applyFill="1" applyBorder="1"/>
    <xf numFmtId="0" fontId="11" fillId="16" borderId="7" xfId="0" applyFont="1" applyFill="1" applyBorder="1" applyAlignment="1">
      <alignment wrapText="1"/>
    </xf>
    <xf numFmtId="0" fontId="0" fillId="0" borderId="0" xfId="0" applyAlignment="1">
      <alignment horizontal="left" indent="1"/>
    </xf>
    <xf numFmtId="0" fontId="1" fillId="0" borderId="0" xfId="0" applyFont="1" applyAlignment="1">
      <alignment horizontal="left" indent="1"/>
    </xf>
    <xf numFmtId="14" fontId="11" fillId="16" borderId="7" xfId="0" applyNumberFormat="1" applyFont="1" applyFill="1" applyBorder="1" applyAlignment="1">
      <alignment horizontal="center" wrapText="1"/>
    </xf>
    <xf numFmtId="4" fontId="11" fillId="16" borderId="7" xfId="0" applyNumberFormat="1" applyFont="1" applyFill="1" applyBorder="1" applyAlignment="1">
      <alignment horizontal="center" wrapText="1"/>
    </xf>
    <xf numFmtId="10" fontId="11" fillId="16" borderId="7" xfId="0" applyNumberFormat="1" applyFont="1" applyFill="1" applyBorder="1" applyAlignment="1">
      <alignment horizontal="center" wrapText="1"/>
    </xf>
    <xf numFmtId="0" fontId="0" fillId="0" borderId="0" xfId="0" applyAlignment="1">
      <alignment horizontal="left" indent="4"/>
    </xf>
    <xf numFmtId="0" fontId="0" fillId="4" borderId="0" xfId="0" applyFill="1"/>
    <xf numFmtId="14" fontId="0" fillId="4" borderId="0" xfId="0" applyNumberFormat="1" applyFill="1"/>
    <xf numFmtId="4" fontId="0" fillId="4" borderId="0" xfId="0" applyNumberFormat="1" applyFill="1"/>
    <xf numFmtId="10" fontId="0" fillId="4" borderId="0" xfId="0" applyNumberFormat="1" applyFill="1"/>
    <xf numFmtId="0" fontId="0" fillId="17" borderId="0" xfId="0" applyFill="1"/>
    <xf numFmtId="14" fontId="0" fillId="17" borderId="0" xfId="0" applyNumberFormat="1" applyFill="1"/>
    <xf numFmtId="4" fontId="0" fillId="17" borderId="0" xfId="0" applyNumberFormat="1" applyFill="1"/>
    <xf numFmtId="10" fontId="0" fillId="17" borderId="0" xfId="0" applyNumberFormat="1" applyFill="1"/>
    <xf numFmtId="0" fontId="0" fillId="18" borderId="0" xfId="0" applyFill="1"/>
    <xf numFmtId="0" fontId="1" fillId="9" borderId="3" xfId="0" applyFont="1" applyFill="1" applyBorder="1"/>
    <xf numFmtId="0" fontId="1" fillId="9" borderId="5" xfId="0" applyFont="1" applyFill="1" applyBorder="1"/>
    <xf numFmtId="0" fontId="1" fillId="9" borderId="2" xfId="0" applyFont="1" applyFill="1" applyBorder="1"/>
    <xf numFmtId="0" fontId="0" fillId="0" borderId="0" xfId="0" applyAlignment="1">
      <alignment vertical="top"/>
    </xf>
    <xf numFmtId="0" fontId="0" fillId="0" borderId="0" xfId="0" applyAlignment="1" applyProtection="1">
      <alignment vertical="top" wrapText="1"/>
      <protection locked="0"/>
    </xf>
    <xf numFmtId="0" fontId="0" fillId="9" borderId="3" xfId="0" applyFill="1" applyBorder="1" applyAlignment="1">
      <alignment vertical="top"/>
    </xf>
    <xf numFmtId="0" fontId="0" fillId="9" borderId="5" xfId="0" applyFill="1" applyBorder="1" applyAlignment="1">
      <alignment vertical="top" wrapText="1"/>
    </xf>
    <xf numFmtId="0" fontId="0" fillId="9" borderId="2" xfId="0" applyFill="1" applyBorder="1" applyAlignment="1">
      <alignment vertical="top" wrapText="1"/>
    </xf>
    <xf numFmtId="0" fontId="0" fillId="0" borderId="0" xfId="0" applyProtection="1">
      <protection locked="0"/>
    </xf>
    <xf numFmtId="0" fontId="0" fillId="19" borderId="0" xfId="0" applyFill="1" applyAlignment="1">
      <alignment horizontal="center"/>
    </xf>
    <xf numFmtId="0" fontId="1" fillId="20" borderId="0" xfId="0" applyFont="1" applyFill="1"/>
    <xf numFmtId="0" fontId="0" fillId="20" borderId="0" xfId="0" applyFill="1"/>
    <xf numFmtId="14" fontId="0" fillId="20" borderId="0" xfId="0" applyNumberFormat="1" applyFill="1"/>
    <xf numFmtId="0" fontId="0" fillId="20" borderId="0" xfId="0" applyFill="1" applyAlignment="1">
      <alignment horizontal="center"/>
    </xf>
    <xf numFmtId="4" fontId="0" fillId="20" borderId="0" xfId="0" applyNumberFormat="1" applyFill="1"/>
    <xf numFmtId="0" fontId="0" fillId="19" borderId="0" xfId="0" applyFill="1"/>
    <xf numFmtId="0" fontId="1" fillId="14" borderId="3" xfId="0" applyFont="1" applyFill="1" applyBorder="1" applyAlignment="1">
      <alignment horizontal="centerContinuous"/>
    </xf>
    <xf numFmtId="0" fontId="1" fillId="14" borderId="5" xfId="0" applyFont="1" applyFill="1" applyBorder="1" applyAlignment="1">
      <alignment horizontal="centerContinuous"/>
    </xf>
    <xf numFmtId="0" fontId="0" fillId="14" borderId="5" xfId="0" applyFill="1" applyBorder="1" applyAlignment="1">
      <alignment horizontal="centerContinuous"/>
    </xf>
    <xf numFmtId="0" fontId="0" fillId="14" borderId="2" xfId="0" applyFill="1" applyBorder="1" applyAlignment="1">
      <alignment horizontal="centerContinuous"/>
    </xf>
    <xf numFmtId="0" fontId="1" fillId="13" borderId="3" xfId="0" applyFont="1" applyFill="1" applyBorder="1" applyAlignment="1">
      <alignment horizontal="centerContinuous"/>
    </xf>
    <xf numFmtId="0" fontId="0" fillId="13" borderId="5" xfId="0" applyFill="1" applyBorder="1" applyAlignment="1">
      <alignment horizontal="centerContinuous"/>
    </xf>
    <xf numFmtId="14" fontId="0" fillId="2" borderId="5" xfId="0" applyNumberFormat="1" applyFill="1" applyBorder="1" applyAlignment="1">
      <alignment horizontal="centerContinuous"/>
    </xf>
    <xf numFmtId="14" fontId="0" fillId="2" borderId="2" xfId="0" applyNumberFormat="1" applyFill="1" applyBorder="1" applyAlignment="1">
      <alignment horizontal="centerContinuous"/>
    </xf>
    <xf numFmtId="0" fontId="8" fillId="2" borderId="5" xfId="0" applyFont="1" applyFill="1" applyBorder="1"/>
    <xf numFmtId="0" fontId="10" fillId="2" borderId="5" xfId="0" applyFont="1" applyFill="1" applyBorder="1"/>
    <xf numFmtId="0" fontId="0" fillId="0" borderId="0" xfId="0" applyAlignment="1" applyProtection="1">
      <alignment vertical="top"/>
      <protection locked="0"/>
    </xf>
    <xf numFmtId="0" fontId="0" fillId="0" borderId="0" xfId="0" applyAlignment="1" applyProtection="1">
      <alignment horizontal="center"/>
    </xf>
    <xf numFmtId="0" fontId="10" fillId="21" borderId="0" xfId="0" applyFont="1" applyFill="1" applyAlignment="1">
      <alignment horizontal="left"/>
    </xf>
    <xf numFmtId="0" fontId="10" fillId="21" borderId="0" xfId="0" applyFont="1" applyFill="1"/>
    <xf numFmtId="0" fontId="10" fillId="21" borderId="0" xfId="0" applyFont="1" applyFill="1" applyAlignment="1">
      <alignment horizontal="center"/>
    </xf>
    <xf numFmtId="0" fontId="10" fillId="15" borderId="3" xfId="0" applyFont="1" applyFill="1" applyBorder="1"/>
    <xf numFmtId="0" fontId="8" fillId="15" borderId="5" xfId="0" applyFont="1" applyFill="1" applyBorder="1"/>
    <xf numFmtId="14" fontId="8" fillId="15" borderId="5" xfId="0" applyNumberFormat="1" applyFont="1" applyFill="1" applyBorder="1"/>
    <xf numFmtId="4" fontId="8" fillId="15" borderId="5" xfId="0" applyNumberFormat="1" applyFont="1" applyFill="1" applyBorder="1"/>
    <xf numFmtId="0" fontId="10" fillId="15" borderId="5" xfId="0" applyFont="1" applyFill="1" applyBorder="1"/>
    <xf numFmtId="10" fontId="8" fillId="15" borderId="5" xfId="0" applyNumberFormat="1" applyFont="1" applyFill="1" applyBorder="1"/>
    <xf numFmtId="14" fontId="10" fillId="15" borderId="5" xfId="0" applyNumberFormat="1" applyFont="1" applyFill="1" applyBorder="1"/>
    <xf numFmtId="0" fontId="8" fillId="7" borderId="5" xfId="0" applyFont="1" applyFill="1" applyBorder="1" applyAlignment="1">
      <alignment horizontal="center"/>
    </xf>
    <xf numFmtId="0" fontId="1" fillId="11" borderId="3" xfId="0" applyFont="1" applyFill="1" applyBorder="1" applyAlignment="1">
      <alignment horizontal="centerContinuous"/>
    </xf>
    <xf numFmtId="0" fontId="0" fillId="11" borderId="5" xfId="0" applyFill="1" applyBorder="1" applyAlignment="1">
      <alignment horizontal="centerContinuous"/>
    </xf>
    <xf numFmtId="0" fontId="0" fillId="8" borderId="0" xfId="0" applyFill="1" applyAlignment="1">
      <alignment horizontal="center" wrapText="1"/>
    </xf>
    <xf numFmtId="0" fontId="1" fillId="7" borderId="0" xfId="0" applyFont="1" applyFill="1"/>
    <xf numFmtId="0" fontId="0" fillId="7" borderId="0" xfId="0" applyFill="1"/>
    <xf numFmtId="14" fontId="0" fillId="7" borderId="0" xfId="0" applyNumberFormat="1" applyFill="1"/>
    <xf numFmtId="0" fontId="0" fillId="7" borderId="0" xfId="0" applyFill="1" applyAlignment="1">
      <alignment horizontal="center"/>
    </xf>
    <xf numFmtId="0" fontId="0" fillId="4" borderId="0" xfId="0" applyFill="1" applyAlignment="1">
      <alignment horizontal="center"/>
    </xf>
    <xf numFmtId="14" fontId="0" fillId="0" borderId="0" xfId="0" applyNumberFormat="1" applyProtection="1">
      <protection locked="0"/>
    </xf>
    <xf numFmtId="0" fontId="0" fillId="0" borderId="0" xfId="0" applyAlignment="1" applyProtection="1">
      <alignment horizontal="center"/>
      <protection locked="0"/>
    </xf>
    <xf numFmtId="0" fontId="0" fillId="0" borderId="0" xfId="0" applyNumberFormat="1" applyProtection="1">
      <protection locked="0"/>
    </xf>
    <xf numFmtId="4" fontId="0" fillId="0" borderId="0" xfId="0" applyNumberFormat="1" applyProtection="1">
      <protection locked="0"/>
    </xf>
    <xf numFmtId="10" fontId="0" fillId="0" borderId="0" xfId="0" applyNumberFormat="1" applyProtection="1">
      <protection locked="0"/>
    </xf>
    <xf numFmtId="0" fontId="0" fillId="0" borderId="0" xfId="0" applyNumberFormat="1" applyAlignment="1" applyProtection="1">
      <alignment horizontal="center"/>
      <protection locked="0"/>
    </xf>
    <xf numFmtId="0" fontId="1" fillId="22" borderId="0" xfId="0" applyFont="1" applyFill="1" applyAlignment="1">
      <alignment horizontal="left" indent="2"/>
    </xf>
    <xf numFmtId="0" fontId="0" fillId="22" borderId="0" xfId="0" applyFill="1" applyAlignment="1">
      <alignment horizontal="center"/>
    </xf>
    <xf numFmtId="0" fontId="0" fillId="22" borderId="0" xfId="0" applyFill="1"/>
    <xf numFmtId="0" fontId="5" fillId="0" borderId="0" xfId="0" quotePrefix="1" applyFont="1" applyBorder="1" applyAlignment="1">
      <alignment horizontal="left" vertical="center" indent="1"/>
    </xf>
  </cellXfs>
  <cellStyles count="2">
    <cellStyle name="Normal" xfId="0" builtinId="0"/>
    <cellStyle name="Normal_Sheet2" xfId="1" xr:uid="{00000000-0005-0000-0000-000001000000}"/>
  </cellStyles>
  <dxfs count="177">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vertical/>
        <horizontal/>
      </border>
    </dxf>
    <dxf>
      <numFmt numFmtId="0" formatCode="General"/>
    </dxf>
    <dxf>
      <font>
        <b/>
        <i val="0"/>
        <strike val="0"/>
        <condense val="0"/>
        <extend val="0"/>
        <outline val="0"/>
        <shadow val="0"/>
        <u val="none"/>
        <vertAlign val="baseline"/>
        <sz val="11"/>
        <color theme="1"/>
        <name val="Calibri"/>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dxf>
    <dxf>
      <numFmt numFmtId="0" formatCode="General"/>
    </dxf>
    <dxf>
      <font>
        <b val="0"/>
        <i val="0"/>
        <strike val="0"/>
        <condense val="0"/>
        <extend val="0"/>
        <outline val="0"/>
        <shadow val="0"/>
        <u val="none"/>
        <vertAlign val="baseline"/>
        <sz val="10"/>
        <color theme="1"/>
        <name val="Calibri"/>
        <scheme val="minor"/>
      </font>
      <alignment horizontal="left" vertical="center" textRotation="0" wrapText="0" indent="1" justifyLastLine="0" shrinkToFit="0" readingOrder="0"/>
    </dxf>
    <dxf>
      <font>
        <b val="0"/>
        <i val="0"/>
        <strike val="0"/>
        <condense val="0"/>
        <extend val="0"/>
        <outline val="0"/>
        <shadow val="0"/>
        <u val="none"/>
        <vertAlign val="baseline"/>
        <sz val="10"/>
        <color theme="1"/>
        <name val="Calibri"/>
        <scheme val="minor"/>
      </font>
      <alignment horizontal="left" vertical="center" textRotation="0" wrapText="0" indent="1" justifyLastLine="0" shrinkToFit="0" readingOrder="0"/>
    </dxf>
    <dxf>
      <border>
        <bottom style="thin">
          <color indexed="64"/>
        </bottom>
      </border>
    </dxf>
    <dxf>
      <font>
        <b/>
        <i val="0"/>
        <strike val="0"/>
        <condense val="0"/>
        <extend val="0"/>
        <outline val="0"/>
        <shadow val="0"/>
        <u val="none"/>
        <vertAlign val="baseline"/>
        <sz val="10"/>
        <color indexed="8"/>
        <name val="Arial"/>
        <scheme val="none"/>
      </font>
      <fill>
        <patternFill patternType="solid">
          <fgColor indexed="64"/>
          <bgColor indexed="22"/>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center" vertical="bottom" textRotation="0" indent="0" justifyLastLine="0" shrinkToFit="0" readingOrder="0"/>
    </dxf>
    <dxf>
      <numFmt numFmtId="4" formatCode="#,##0.00"/>
    </dxf>
    <dxf>
      <numFmt numFmtId="4" formatCode="#,##0.00"/>
    </dxf>
    <dxf>
      <numFmt numFmtId="4" formatCode="#,##0.00"/>
    </dxf>
    <dxf>
      <numFmt numFmtId="4" formatCode="#,##0.00"/>
    </dxf>
    <dxf>
      <numFmt numFmtId="4" formatCode="#,##0.00"/>
    </dxf>
    <dxf>
      <numFmt numFmtId="0" formatCode="General"/>
    </dxf>
    <dxf>
      <numFmt numFmtId="19" formatCode="m/d/yyyy"/>
    </dxf>
    <dxf>
      <numFmt numFmtId="19" formatCode="m/d/yyyy"/>
    </dxf>
    <dxf>
      <numFmt numFmtId="14" formatCode="0.00%"/>
    </dxf>
    <dxf>
      <numFmt numFmtId="4" formatCode="#,##0.00"/>
    </dxf>
    <dxf>
      <numFmt numFmtId="19" formatCode="m/d/yyyy"/>
    </dxf>
    <dxf>
      <numFmt numFmtId="19" formatCode="m/d/yyyy"/>
    </dxf>
    <dxf>
      <numFmt numFmtId="0" formatCode="General"/>
    </dxf>
    <dxf>
      <numFmt numFmtId="0" formatCode="General"/>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0" formatCode="General"/>
    </dxf>
    <dxf>
      <numFmt numFmtId="0" formatCode="General"/>
    </dxf>
    <dxf>
      <numFmt numFmtId="0" formatCode="General"/>
    </dxf>
    <dxf>
      <alignment horizontal="center" vertical="bottom" textRotation="0" indent="0" justifyLastLine="0" shrinkToFit="0" readingOrder="0"/>
    </dxf>
    <dxf>
      <numFmt numFmtId="4" formatCode="#,##0.00"/>
    </dxf>
    <dxf>
      <numFmt numFmtId="4" formatCode="#,##0.00"/>
    </dxf>
    <dxf>
      <numFmt numFmtId="4" formatCode="#,##0.00"/>
    </dxf>
    <dxf>
      <numFmt numFmtId="4" formatCode="#,##0.00"/>
    </dxf>
    <dxf>
      <numFmt numFmtId="0" formatCode="General"/>
    </dxf>
    <dxf>
      <numFmt numFmtId="19" formatCode="m/d/yyyy"/>
    </dxf>
    <dxf>
      <numFmt numFmtId="19" formatCode="m/d/yyyy"/>
    </dxf>
    <dxf>
      <numFmt numFmtId="14" formatCode="0.00%"/>
    </dxf>
    <dxf>
      <numFmt numFmtId="4" formatCode="#,##0.00"/>
    </dxf>
    <dxf>
      <numFmt numFmtId="19" formatCode="m/d/yyyy"/>
    </dxf>
    <dxf>
      <numFmt numFmtId="19" formatCode="m/d/yyyy"/>
    </dxf>
    <dxf>
      <numFmt numFmtId="0" formatCode="General"/>
    </dxf>
    <dxf>
      <numFmt numFmtId="0" formatCode="General"/>
    </dxf>
    <dxf>
      <numFmt numFmtId="0" formatCode="General"/>
      <alignment horizontal="center" vertical="bottom" textRotation="0" wrapText="0" indent="0" justifyLastLine="0" shrinkToFit="0" readingOrder="0"/>
      <protection locked="1" hidden="0"/>
    </dxf>
    <dxf>
      <numFmt numFmtId="0" formatCode="General"/>
      <alignment horizontal="center" vertical="bottom" textRotation="0" wrapText="0" indent="0" justifyLastLine="0" shrinkToFit="0" readingOrder="0"/>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252413</xdr:colOff>
      <xdr:row>17</xdr:row>
      <xdr:rowOff>142875</xdr:rowOff>
    </xdr:from>
    <xdr:to>
      <xdr:col>5</xdr:col>
      <xdr:colOff>338138</xdr:colOff>
      <xdr:row>21</xdr:row>
      <xdr:rowOff>162115</xdr:rowOff>
    </xdr:to>
    <xdr:sp macro="" textlink="">
      <xdr:nvSpPr>
        <xdr:cNvPr id="72" name="TextBox 71">
          <a:extLst>
            <a:ext uri="{FF2B5EF4-FFF2-40B4-BE49-F238E27FC236}">
              <a16:creationId xmlns:a16="http://schemas.microsoft.com/office/drawing/2014/main" id="{A70D2970-E5B0-4012-A34D-4EABD9000D7A}"/>
            </a:ext>
          </a:extLst>
        </xdr:cNvPr>
        <xdr:cNvSpPr txBox="1"/>
      </xdr:nvSpPr>
      <xdr:spPr>
        <a:xfrm>
          <a:off x="862013" y="3251835"/>
          <a:ext cx="2524125" cy="750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indent="0" algn="ctr"/>
          <a:r>
            <a:rPr lang="en-US" sz="1100">
              <a:solidFill>
                <a:schemeClr val="dk1"/>
              </a:solidFill>
              <a:latin typeface="+mn-lt"/>
              <a:ea typeface="+mn-ea"/>
              <a:cs typeface="+mn-cs"/>
            </a:rPr>
            <a:t>Evaluate Agreement Underlying Assets</a:t>
          </a:r>
          <a:br>
            <a:rPr lang="en-US" sz="1100">
              <a:solidFill>
                <a:schemeClr val="dk1"/>
              </a:solidFill>
              <a:latin typeface="+mn-lt"/>
              <a:ea typeface="+mn-ea"/>
              <a:cs typeface="+mn-cs"/>
            </a:rPr>
          </a:br>
          <a:r>
            <a:rPr lang="en-US" sz="1100">
              <a:solidFill>
                <a:schemeClr val="dk1"/>
              </a:solidFill>
              <a:latin typeface="+mn-lt"/>
              <a:ea typeface="+mn-ea"/>
              <a:cs typeface="+mn-cs"/>
            </a:rPr>
            <a:t>and Core Agreement</a:t>
          </a:r>
          <a:r>
            <a:rPr lang="en-US" sz="1100" baseline="0">
              <a:solidFill>
                <a:schemeClr val="dk1"/>
              </a:solidFill>
              <a:latin typeface="+mn-lt"/>
              <a:ea typeface="+mn-ea"/>
              <a:cs typeface="+mn-cs"/>
            </a:rPr>
            <a:t> Terms</a:t>
          </a:r>
          <a:br>
            <a:rPr lang="en-US" sz="1100">
              <a:solidFill>
                <a:schemeClr val="dk1"/>
              </a:solidFill>
              <a:latin typeface="+mn-lt"/>
              <a:ea typeface="+mn-ea"/>
              <a:cs typeface="+mn-cs"/>
            </a:rPr>
          </a:br>
          <a:r>
            <a:rPr lang="en-US" sz="1100">
              <a:solidFill>
                <a:schemeClr val="dk1"/>
              </a:solidFill>
              <a:latin typeface="+mn-lt"/>
              <a:ea typeface="+mn-ea"/>
              <a:cs typeface="+mn-cs"/>
            </a:rPr>
            <a:t>GASB 87 Exception or non-GASB 87?</a:t>
          </a:r>
        </a:p>
        <a:p>
          <a:pPr marL="0" indent="0" algn="ctr"/>
          <a:r>
            <a:rPr lang="en-US" sz="1100">
              <a:solidFill>
                <a:schemeClr val="dk1"/>
              </a:solidFill>
              <a:latin typeface="+mn-lt"/>
              <a:ea typeface="+mn-ea"/>
              <a:cs typeface="+mn-cs"/>
            </a:rPr>
            <a:t>Yes / No</a:t>
          </a:r>
        </a:p>
      </xdr:txBody>
    </xdr:sp>
    <xdr:clientData/>
  </xdr:twoCellAnchor>
  <xdr:twoCellAnchor>
    <xdr:from>
      <xdr:col>6</xdr:col>
      <xdr:colOff>342900</xdr:colOff>
      <xdr:row>19</xdr:row>
      <xdr:rowOff>20215</xdr:rowOff>
    </xdr:from>
    <xdr:to>
      <xdr:col>7</xdr:col>
      <xdr:colOff>123825</xdr:colOff>
      <xdr:row>20</xdr:row>
      <xdr:rowOff>94275</xdr:rowOff>
    </xdr:to>
    <xdr:sp macro="" textlink="">
      <xdr:nvSpPr>
        <xdr:cNvPr id="73" name="TextBox 72">
          <a:extLst>
            <a:ext uri="{FF2B5EF4-FFF2-40B4-BE49-F238E27FC236}">
              <a16:creationId xmlns:a16="http://schemas.microsoft.com/office/drawing/2014/main" id="{C2193C36-B798-4390-873C-A562CE5B881D}"/>
            </a:ext>
          </a:extLst>
        </xdr:cNvPr>
        <xdr:cNvSpPr txBox="1"/>
      </xdr:nvSpPr>
      <xdr:spPr>
        <a:xfrm>
          <a:off x="4000500" y="3494935"/>
          <a:ext cx="390525" cy="256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indent="0" algn="ctr"/>
          <a:r>
            <a:rPr lang="en-US" sz="1100">
              <a:solidFill>
                <a:schemeClr val="dk1"/>
              </a:solidFill>
              <a:latin typeface="+mn-lt"/>
              <a:ea typeface="+mn-ea"/>
              <a:cs typeface="+mn-cs"/>
            </a:rPr>
            <a:t>Yes</a:t>
          </a:r>
        </a:p>
      </xdr:txBody>
    </xdr:sp>
    <xdr:clientData/>
  </xdr:twoCellAnchor>
  <xdr:oneCellAnchor>
    <xdr:from>
      <xdr:col>8</xdr:col>
      <xdr:colOff>91440</xdr:colOff>
      <xdr:row>18</xdr:row>
      <xdr:rowOff>27718</xdr:rowOff>
    </xdr:from>
    <xdr:ext cx="2324100" cy="609013"/>
    <xdr:sp macro="" textlink="">
      <xdr:nvSpPr>
        <xdr:cNvPr id="74" name="TextBox 73">
          <a:extLst>
            <a:ext uri="{FF2B5EF4-FFF2-40B4-BE49-F238E27FC236}">
              <a16:creationId xmlns:a16="http://schemas.microsoft.com/office/drawing/2014/main" id="{430DD0B4-31C5-48A1-ADDE-AFE0F436E5A3}"/>
            </a:ext>
          </a:extLst>
        </xdr:cNvPr>
        <xdr:cNvSpPr txBox="1"/>
      </xdr:nvSpPr>
      <xdr:spPr>
        <a:xfrm>
          <a:off x="4968240" y="3319558"/>
          <a:ext cx="2324100" cy="60901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US" sz="1100"/>
            <a:t>Enter</a:t>
          </a:r>
          <a:r>
            <a:rPr lang="en-US" sz="1100" baseline="0"/>
            <a:t> on "Excluded Leases" sheet with reason for exclusion as "not GASB 87".</a:t>
          </a:r>
          <a:endParaRPr lang="en-US" sz="1100"/>
        </a:p>
      </xdr:txBody>
    </xdr:sp>
    <xdr:clientData/>
  </xdr:oneCellAnchor>
  <xdr:twoCellAnchor>
    <xdr:from>
      <xdr:col>3</xdr:col>
      <xdr:colOff>100013</xdr:colOff>
      <xdr:row>23</xdr:row>
      <xdr:rowOff>66675</xdr:rowOff>
    </xdr:from>
    <xdr:to>
      <xdr:col>3</xdr:col>
      <xdr:colOff>490538</xdr:colOff>
      <xdr:row>24</xdr:row>
      <xdr:rowOff>140735</xdr:rowOff>
    </xdr:to>
    <xdr:sp macro="" textlink="">
      <xdr:nvSpPr>
        <xdr:cNvPr id="75" name="TextBox 74">
          <a:extLst>
            <a:ext uri="{FF2B5EF4-FFF2-40B4-BE49-F238E27FC236}">
              <a16:creationId xmlns:a16="http://schemas.microsoft.com/office/drawing/2014/main" id="{0B640A20-356B-4F41-AD3A-6E3DD0FD5AFD}"/>
            </a:ext>
          </a:extLst>
        </xdr:cNvPr>
        <xdr:cNvSpPr txBox="1"/>
      </xdr:nvSpPr>
      <xdr:spPr>
        <a:xfrm>
          <a:off x="1928813" y="4272915"/>
          <a:ext cx="390525" cy="256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indent="0" algn="ctr"/>
          <a:r>
            <a:rPr lang="en-US" sz="1100">
              <a:solidFill>
                <a:schemeClr val="dk1"/>
              </a:solidFill>
              <a:latin typeface="+mn-lt"/>
              <a:ea typeface="+mn-ea"/>
              <a:cs typeface="+mn-cs"/>
            </a:rPr>
            <a:t>No</a:t>
          </a:r>
        </a:p>
      </xdr:txBody>
    </xdr:sp>
    <xdr:clientData/>
  </xdr:twoCellAnchor>
  <xdr:twoCellAnchor>
    <xdr:from>
      <xdr:col>1</xdr:col>
      <xdr:colOff>248603</xdr:colOff>
      <xdr:row>26</xdr:row>
      <xdr:rowOff>49530</xdr:rowOff>
    </xdr:from>
    <xdr:to>
      <xdr:col>5</xdr:col>
      <xdr:colOff>336233</xdr:colOff>
      <xdr:row>29</xdr:row>
      <xdr:rowOff>113021</xdr:rowOff>
    </xdr:to>
    <xdr:sp macro="" textlink="">
      <xdr:nvSpPr>
        <xdr:cNvPr id="76" name="TextBox 75">
          <a:extLst>
            <a:ext uri="{FF2B5EF4-FFF2-40B4-BE49-F238E27FC236}">
              <a16:creationId xmlns:a16="http://schemas.microsoft.com/office/drawing/2014/main" id="{7A977BE9-980D-44CB-9385-37BB595FCE40}"/>
            </a:ext>
          </a:extLst>
        </xdr:cNvPr>
        <xdr:cNvSpPr txBox="1"/>
      </xdr:nvSpPr>
      <xdr:spPr>
        <a:xfrm>
          <a:off x="858203" y="4804410"/>
          <a:ext cx="2526030" cy="6121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indent="0" algn="ctr"/>
          <a:r>
            <a:rPr lang="en-US" sz="1100">
              <a:solidFill>
                <a:schemeClr val="dk1"/>
              </a:solidFill>
              <a:latin typeface="+mn-lt"/>
              <a:ea typeface="+mn-ea"/>
              <a:cs typeface="+mn-cs"/>
            </a:rPr>
            <a:t>Evaluate Agreement Date Terms </a:t>
          </a:r>
          <a:br>
            <a:rPr lang="en-US" sz="1100">
              <a:solidFill>
                <a:schemeClr val="dk1"/>
              </a:solidFill>
              <a:latin typeface="+mn-lt"/>
              <a:ea typeface="+mn-ea"/>
              <a:cs typeface="+mn-cs"/>
            </a:rPr>
          </a:br>
          <a:r>
            <a:rPr lang="en-US" sz="1100">
              <a:solidFill>
                <a:schemeClr val="dk1"/>
              </a:solidFill>
              <a:latin typeface="+mn-lt"/>
              <a:ea typeface="+mn-ea"/>
              <a:cs typeface="+mn-cs"/>
            </a:rPr>
            <a:t>Meets</a:t>
          </a:r>
          <a:r>
            <a:rPr lang="en-US" sz="1100" baseline="0">
              <a:solidFill>
                <a:schemeClr val="dk1"/>
              </a:solidFill>
              <a:latin typeface="+mn-lt"/>
              <a:ea typeface="+mn-ea"/>
              <a:cs typeface="+mn-cs"/>
            </a:rPr>
            <a:t> </a:t>
          </a:r>
          <a:r>
            <a:rPr lang="en-US" sz="1100">
              <a:solidFill>
                <a:schemeClr val="dk1"/>
              </a:solidFill>
              <a:latin typeface="+mn-lt"/>
              <a:ea typeface="+mn-ea"/>
              <a:cs typeface="+mn-cs"/>
            </a:rPr>
            <a:t>GASB 87 12-month</a:t>
          </a:r>
          <a:r>
            <a:rPr lang="en-US" sz="1100" baseline="0">
              <a:solidFill>
                <a:schemeClr val="dk1"/>
              </a:solidFill>
              <a:latin typeface="+mn-lt"/>
              <a:ea typeface="+mn-ea"/>
              <a:cs typeface="+mn-cs"/>
            </a:rPr>
            <a:t> Rule?</a:t>
          </a:r>
        </a:p>
        <a:p>
          <a:pPr marL="0" indent="0" algn="ctr"/>
          <a:r>
            <a:rPr lang="en-US" sz="1100">
              <a:solidFill>
                <a:schemeClr val="dk1"/>
              </a:solidFill>
              <a:latin typeface="+mn-lt"/>
              <a:ea typeface="+mn-ea"/>
              <a:cs typeface="+mn-cs"/>
            </a:rPr>
            <a:t> (See</a:t>
          </a:r>
          <a:r>
            <a:rPr lang="en-US" sz="1100" baseline="0">
              <a:solidFill>
                <a:schemeClr val="dk1"/>
              </a:solidFill>
              <a:latin typeface="+mn-lt"/>
              <a:ea typeface="+mn-ea"/>
              <a:cs typeface="+mn-cs"/>
            </a:rPr>
            <a:t> Box (A))</a:t>
          </a:r>
          <a:endParaRPr lang="en-US" sz="1100">
            <a:solidFill>
              <a:schemeClr val="dk1"/>
            </a:solidFill>
            <a:latin typeface="+mn-lt"/>
            <a:ea typeface="+mn-ea"/>
            <a:cs typeface="+mn-cs"/>
          </a:endParaRPr>
        </a:p>
      </xdr:txBody>
    </xdr:sp>
    <xdr:clientData/>
  </xdr:twoCellAnchor>
  <xdr:twoCellAnchor>
    <xdr:from>
      <xdr:col>12</xdr:col>
      <xdr:colOff>342900</xdr:colOff>
      <xdr:row>1</xdr:row>
      <xdr:rowOff>114300</xdr:rowOff>
    </xdr:from>
    <xdr:to>
      <xdr:col>18</xdr:col>
      <xdr:colOff>390525</xdr:colOff>
      <xdr:row>23</xdr:row>
      <xdr:rowOff>149072</xdr:rowOff>
    </xdr:to>
    <xdr:sp macro="" textlink="">
      <xdr:nvSpPr>
        <xdr:cNvPr id="77" name="TextBox 76">
          <a:extLst>
            <a:ext uri="{FF2B5EF4-FFF2-40B4-BE49-F238E27FC236}">
              <a16:creationId xmlns:a16="http://schemas.microsoft.com/office/drawing/2014/main" id="{1576ACF9-C1CD-4738-B63B-ECC21FAE6B4C}"/>
            </a:ext>
          </a:extLst>
        </xdr:cNvPr>
        <xdr:cNvSpPr txBox="1"/>
      </xdr:nvSpPr>
      <xdr:spPr>
        <a:xfrm>
          <a:off x="7658100" y="297180"/>
          <a:ext cx="3705225" cy="40581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indent="0" algn="ctr"/>
          <a:r>
            <a:rPr lang="en-US" sz="1100" b="1">
              <a:solidFill>
                <a:schemeClr val="dk1"/>
              </a:solidFill>
              <a:latin typeface="+mn-lt"/>
              <a:ea typeface="+mn-ea"/>
              <a:cs typeface="+mn-cs"/>
            </a:rPr>
            <a:t> (A) Evaluate Agreement Date Terms</a:t>
          </a:r>
        </a:p>
        <a:p>
          <a:pPr marL="0" indent="0" algn="l"/>
          <a:r>
            <a:rPr lang="en-US" sz="1100" b="0" i="0" u="sng" strike="noStrike">
              <a:solidFill>
                <a:schemeClr val="dk1"/>
              </a:solidFill>
              <a:effectLst/>
              <a:latin typeface="+mn-lt"/>
              <a:ea typeface="+mn-ea"/>
              <a:cs typeface="+mn-cs"/>
            </a:rPr>
            <a:t>Initial Term:</a:t>
          </a:r>
          <a:r>
            <a:rPr lang="en-US" sz="1100" b="0" i="0" u="none" strike="noStrike">
              <a:solidFill>
                <a:schemeClr val="dk1"/>
              </a:solidFill>
              <a:effectLst/>
              <a:latin typeface="+mn-lt"/>
              <a:ea typeface="+mn-ea"/>
              <a:cs typeface="+mn-cs"/>
            </a:rPr>
            <a:t> Period during which a lessee has a noncancelable right to use an underlying asset (referred to as the noncancelable period), plus:</a:t>
          </a:r>
        </a:p>
        <a:p>
          <a:pPr marL="0" indent="0" algn="l"/>
          <a:endParaRPr lang="en-US" sz="1100" b="0" i="0" u="none" strike="noStrike">
            <a:solidFill>
              <a:schemeClr val="dk1"/>
            </a:solidFill>
            <a:effectLst/>
            <a:latin typeface="+mn-lt"/>
            <a:ea typeface="+mn-ea"/>
            <a:cs typeface="+mn-cs"/>
          </a:endParaRPr>
        </a:p>
        <a:p>
          <a:pPr marL="0" indent="0" algn="l"/>
          <a:r>
            <a:rPr lang="en-US" sz="1100" b="0" i="0" u="sng" strike="noStrike">
              <a:solidFill>
                <a:schemeClr val="dk1"/>
              </a:solidFill>
              <a:effectLst/>
              <a:latin typeface="+mn-lt"/>
              <a:ea typeface="+mn-ea"/>
              <a:cs typeface="+mn-cs"/>
            </a:rPr>
            <a:t>Lessee Option to Extend</a:t>
          </a:r>
          <a:r>
            <a:rPr lang="en-US" sz="1100" b="0" i="0" u="none" strike="noStrike">
              <a:solidFill>
                <a:schemeClr val="dk1"/>
              </a:solidFill>
              <a:effectLst/>
              <a:latin typeface="+mn-lt"/>
              <a:ea typeface="+mn-ea"/>
              <a:cs typeface="+mn-cs"/>
            </a:rPr>
            <a:t>: Periods covered by the Lessee’s option to extend the lease if it is reasonably certain that the option will be exercised (1)</a:t>
          </a:r>
        </a:p>
        <a:p>
          <a:pPr marL="0" indent="0" algn="l"/>
          <a:r>
            <a:rPr lang="en-US" u="sng"/>
            <a:t>Lessee Option to Terminate</a:t>
          </a:r>
          <a:r>
            <a:rPr lang="en-US"/>
            <a:t>: </a:t>
          </a:r>
          <a:r>
            <a:rPr lang="en-US" sz="1100" b="0" i="0" u="none" strike="noStrike">
              <a:solidFill>
                <a:schemeClr val="dk1"/>
              </a:solidFill>
              <a:effectLst/>
              <a:latin typeface="+mn-lt"/>
              <a:ea typeface="+mn-ea"/>
              <a:cs typeface="+mn-cs"/>
            </a:rPr>
            <a:t>Periods covered by a Lessee’s option to terminate the lease if it is reasonably certain that the option will </a:t>
          </a:r>
          <a:r>
            <a:rPr lang="en-US" sz="1100" b="1" i="1" u="sng" strike="noStrike">
              <a:solidFill>
                <a:schemeClr val="dk1"/>
              </a:solidFill>
              <a:effectLst/>
              <a:latin typeface="+mn-lt"/>
              <a:ea typeface="+mn-ea"/>
              <a:cs typeface="+mn-cs"/>
            </a:rPr>
            <a:t>not</a:t>
          </a:r>
          <a:r>
            <a:rPr lang="en-US" sz="1100" b="0" i="0" u="none" strike="noStrike">
              <a:solidFill>
                <a:schemeClr val="dk1"/>
              </a:solidFill>
              <a:effectLst/>
              <a:latin typeface="+mn-lt"/>
              <a:ea typeface="+mn-ea"/>
              <a:cs typeface="+mn-cs"/>
            </a:rPr>
            <a:t> be exercised (2)</a:t>
          </a:r>
        </a:p>
        <a:p>
          <a:pPr marL="0" indent="0" algn="l"/>
          <a:r>
            <a:rPr lang="en-US" sz="1100" b="0" i="0" u="sng">
              <a:solidFill>
                <a:schemeClr val="dk1"/>
              </a:solidFill>
              <a:effectLst/>
              <a:latin typeface="+mn-lt"/>
              <a:ea typeface="+mn-ea"/>
              <a:cs typeface="+mn-cs"/>
            </a:rPr>
            <a:t>Lessor Option to Extend</a:t>
          </a:r>
          <a:r>
            <a:rPr lang="en-US" sz="1100" b="0" i="0">
              <a:solidFill>
                <a:schemeClr val="dk1"/>
              </a:solidFill>
              <a:effectLst/>
              <a:latin typeface="+mn-lt"/>
              <a:ea typeface="+mn-ea"/>
              <a:cs typeface="+mn-cs"/>
            </a:rPr>
            <a:t>:</a:t>
          </a:r>
          <a:r>
            <a:rPr lang="en-US"/>
            <a:t> </a:t>
          </a:r>
          <a:r>
            <a:rPr lang="en-US" sz="1100" b="0" i="0" u="none" strike="noStrike">
              <a:solidFill>
                <a:schemeClr val="dk1"/>
              </a:solidFill>
              <a:effectLst/>
              <a:latin typeface="+mn-lt"/>
              <a:ea typeface="+mn-ea"/>
              <a:cs typeface="+mn-cs"/>
            </a:rPr>
            <a:t>Periods covered by the Lessor’s option to extend the lease if it is reasonably certain that the option will be exercised (1)</a:t>
          </a:r>
        </a:p>
        <a:p>
          <a:pPr marL="0" indent="0" algn="l"/>
          <a:r>
            <a:rPr lang="en-US" sz="1100" u="sng">
              <a:solidFill>
                <a:schemeClr val="dk1"/>
              </a:solidFill>
              <a:effectLst/>
              <a:latin typeface="+mn-lt"/>
              <a:ea typeface="+mn-ea"/>
              <a:cs typeface="+mn-cs"/>
            </a:rPr>
            <a:t>Lessor Option to Terminate</a:t>
          </a:r>
          <a:r>
            <a:rPr lang="en-US" sz="1100">
              <a:solidFill>
                <a:schemeClr val="dk1"/>
              </a:solidFill>
              <a:effectLst/>
              <a:latin typeface="+mn-lt"/>
              <a:ea typeface="+mn-ea"/>
              <a:cs typeface="+mn-cs"/>
            </a:rPr>
            <a:t>:</a:t>
          </a:r>
          <a:r>
            <a:rPr lang="en-US"/>
            <a:t> </a:t>
          </a:r>
          <a:r>
            <a:rPr lang="en-US" sz="1100" b="0" i="0" u="none" strike="noStrike">
              <a:solidFill>
                <a:schemeClr val="dk1"/>
              </a:solidFill>
              <a:effectLst/>
              <a:latin typeface="+mn-lt"/>
              <a:ea typeface="+mn-ea"/>
              <a:cs typeface="+mn-cs"/>
            </a:rPr>
            <a:t>Periods covered by a Lessor’s option to terminate the lease if it is reasonably certain that the option will </a:t>
          </a:r>
          <a:r>
            <a:rPr lang="en-US" sz="1100" b="1" i="1" u="sng" strike="noStrike">
              <a:solidFill>
                <a:schemeClr val="dk1"/>
              </a:solidFill>
              <a:effectLst/>
              <a:latin typeface="+mn-lt"/>
              <a:ea typeface="+mn-ea"/>
              <a:cs typeface="+mn-cs"/>
            </a:rPr>
            <a:t>not</a:t>
          </a:r>
          <a:r>
            <a:rPr lang="en-US" sz="1100" b="0" i="0" u="none" strike="noStrike">
              <a:solidFill>
                <a:schemeClr val="dk1"/>
              </a:solidFill>
              <a:effectLst/>
              <a:latin typeface="+mn-lt"/>
              <a:ea typeface="+mn-ea"/>
              <a:cs typeface="+mn-cs"/>
            </a:rPr>
            <a:t> be exercised (2)</a:t>
          </a:r>
        </a:p>
        <a:p>
          <a:pPr marL="0" indent="0" algn="l"/>
          <a:endParaRPr lang="en-US" sz="1100" b="0" i="0" u="none" strike="noStrike">
            <a:solidFill>
              <a:schemeClr val="dk1"/>
            </a:solidFill>
            <a:effectLst/>
            <a:latin typeface="+mn-lt"/>
            <a:ea typeface="+mn-ea"/>
            <a:cs typeface="+mn-cs"/>
          </a:endParaRPr>
        </a:p>
        <a:p>
          <a:pPr marL="0" indent="0" algn="l"/>
          <a:r>
            <a:rPr lang="en-US" sz="1100" b="0" i="0" u="none" strike="noStrike">
              <a:solidFill>
                <a:schemeClr val="dk1"/>
              </a:solidFill>
              <a:effectLst/>
              <a:latin typeface="+mn-lt"/>
              <a:ea typeface="+mn-ea"/>
              <a:cs typeface="+mn-cs"/>
            </a:rPr>
            <a:t>(1) If both partied must agree to extend, then the period are </a:t>
          </a:r>
          <a:r>
            <a:rPr lang="en-US" sz="1100" b="1" i="1" u="sng" strike="noStrike">
              <a:solidFill>
                <a:schemeClr val="dk1"/>
              </a:solidFill>
              <a:effectLst/>
              <a:latin typeface="+mn-lt"/>
              <a:ea typeface="+mn-ea"/>
              <a:cs typeface="+mn-cs"/>
            </a:rPr>
            <a:t>not</a:t>
          </a:r>
          <a:r>
            <a:rPr lang="en-US" sz="1100" b="0" i="0" u="none" strike="noStrike">
              <a:solidFill>
                <a:schemeClr val="dk1"/>
              </a:solidFill>
              <a:effectLst/>
              <a:latin typeface="+mn-lt"/>
              <a:ea typeface="+mn-ea"/>
              <a:cs typeface="+mn-cs"/>
            </a:rPr>
            <a:t> included.</a:t>
          </a:r>
        </a:p>
        <a:p>
          <a:pPr marL="0" indent="0" algn="l"/>
          <a:r>
            <a:rPr lang="en-US"/>
            <a:t> </a:t>
          </a:r>
          <a:r>
            <a:rPr lang="en-US" sz="1100" b="0" i="0" u="none" strike="noStrike">
              <a:solidFill>
                <a:schemeClr val="dk1"/>
              </a:solidFill>
              <a:effectLst/>
              <a:latin typeface="+mn-lt"/>
              <a:ea typeface="+mn-ea"/>
              <a:cs typeface="+mn-cs"/>
            </a:rPr>
            <a:t>(2) If both parties have the right to terminate without permission from the other party, the periods are </a:t>
          </a:r>
          <a:r>
            <a:rPr lang="en-US" sz="1100" b="1" i="1" u="sng" strike="noStrike">
              <a:solidFill>
                <a:schemeClr val="dk1"/>
              </a:solidFill>
              <a:effectLst/>
              <a:latin typeface="+mn-lt"/>
              <a:ea typeface="+mn-ea"/>
              <a:cs typeface="+mn-cs"/>
            </a:rPr>
            <a:t>not</a:t>
          </a:r>
          <a:r>
            <a:rPr lang="en-US" sz="1100" b="0" i="0" u="none" strike="noStrike">
              <a:solidFill>
                <a:schemeClr val="dk1"/>
              </a:solidFill>
              <a:effectLst/>
              <a:latin typeface="+mn-lt"/>
              <a:ea typeface="+mn-ea"/>
              <a:cs typeface="+mn-cs"/>
            </a:rPr>
            <a:t> included.</a:t>
          </a:r>
          <a:r>
            <a:rPr lang="en-US"/>
            <a:t> </a:t>
          </a:r>
        </a:p>
        <a:p>
          <a:pPr marL="0" indent="0" algn="l"/>
          <a:endParaRPr lang="en-US" sz="1100">
            <a:solidFill>
              <a:schemeClr val="dk1"/>
            </a:solidFill>
            <a:latin typeface="+mn-lt"/>
            <a:ea typeface="+mn-ea"/>
            <a:cs typeface="+mn-cs"/>
          </a:endParaRPr>
        </a:p>
      </xdr:txBody>
    </xdr:sp>
    <xdr:clientData/>
  </xdr:twoCellAnchor>
  <xdr:twoCellAnchor>
    <xdr:from>
      <xdr:col>6</xdr:col>
      <xdr:colOff>342900</xdr:colOff>
      <xdr:row>27</xdr:row>
      <xdr:rowOff>29351</xdr:rowOff>
    </xdr:from>
    <xdr:to>
      <xdr:col>7</xdr:col>
      <xdr:colOff>123825</xdr:colOff>
      <xdr:row>28</xdr:row>
      <xdr:rowOff>103411</xdr:rowOff>
    </xdr:to>
    <xdr:sp macro="" textlink="">
      <xdr:nvSpPr>
        <xdr:cNvPr id="78" name="TextBox 77">
          <a:extLst>
            <a:ext uri="{FF2B5EF4-FFF2-40B4-BE49-F238E27FC236}">
              <a16:creationId xmlns:a16="http://schemas.microsoft.com/office/drawing/2014/main" id="{F3E9A8E7-B1E3-4911-9A77-1EF4D3EA7D12}"/>
            </a:ext>
          </a:extLst>
        </xdr:cNvPr>
        <xdr:cNvSpPr txBox="1"/>
      </xdr:nvSpPr>
      <xdr:spPr>
        <a:xfrm>
          <a:off x="4000500" y="4967111"/>
          <a:ext cx="390525" cy="256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indent="0" algn="ctr"/>
          <a:r>
            <a:rPr lang="en-US" sz="1100">
              <a:solidFill>
                <a:schemeClr val="dk1"/>
              </a:solidFill>
              <a:latin typeface="+mn-lt"/>
              <a:ea typeface="+mn-ea"/>
              <a:cs typeface="+mn-cs"/>
            </a:rPr>
            <a:t>No</a:t>
          </a:r>
        </a:p>
      </xdr:txBody>
    </xdr:sp>
    <xdr:clientData/>
  </xdr:twoCellAnchor>
  <xdr:twoCellAnchor>
    <xdr:from>
      <xdr:col>3</xdr:col>
      <xdr:colOff>100013</xdr:colOff>
      <xdr:row>31</xdr:row>
      <xdr:rowOff>152400</xdr:rowOff>
    </xdr:from>
    <xdr:to>
      <xdr:col>3</xdr:col>
      <xdr:colOff>490538</xdr:colOff>
      <xdr:row>33</xdr:row>
      <xdr:rowOff>35960</xdr:rowOff>
    </xdr:to>
    <xdr:sp macro="" textlink="">
      <xdr:nvSpPr>
        <xdr:cNvPr id="79" name="TextBox 78">
          <a:extLst>
            <a:ext uri="{FF2B5EF4-FFF2-40B4-BE49-F238E27FC236}">
              <a16:creationId xmlns:a16="http://schemas.microsoft.com/office/drawing/2014/main" id="{4195E819-2A3E-4481-9D71-A589239F093F}"/>
            </a:ext>
          </a:extLst>
        </xdr:cNvPr>
        <xdr:cNvSpPr txBox="1"/>
      </xdr:nvSpPr>
      <xdr:spPr>
        <a:xfrm>
          <a:off x="1928813" y="5821680"/>
          <a:ext cx="390525" cy="249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indent="0" algn="ctr"/>
          <a:r>
            <a:rPr lang="en-US" sz="1100">
              <a:solidFill>
                <a:schemeClr val="dk1"/>
              </a:solidFill>
              <a:latin typeface="+mn-lt"/>
              <a:ea typeface="+mn-ea"/>
              <a:cs typeface="+mn-cs"/>
            </a:rPr>
            <a:t>Yes</a:t>
          </a:r>
        </a:p>
      </xdr:txBody>
    </xdr:sp>
    <xdr:clientData/>
  </xdr:twoCellAnchor>
  <xdr:oneCellAnchor>
    <xdr:from>
      <xdr:col>8</xdr:col>
      <xdr:colOff>65462</xdr:colOff>
      <xdr:row>26</xdr:row>
      <xdr:rowOff>40664</xdr:rowOff>
    </xdr:from>
    <xdr:ext cx="2324100" cy="609013"/>
    <xdr:sp macro="" textlink="">
      <xdr:nvSpPr>
        <xdr:cNvPr id="80" name="TextBox 79">
          <a:extLst>
            <a:ext uri="{FF2B5EF4-FFF2-40B4-BE49-F238E27FC236}">
              <a16:creationId xmlns:a16="http://schemas.microsoft.com/office/drawing/2014/main" id="{5B3C37E1-EEF8-45DC-9D8C-2BC2F57198FD}"/>
            </a:ext>
          </a:extLst>
        </xdr:cNvPr>
        <xdr:cNvSpPr txBox="1"/>
      </xdr:nvSpPr>
      <xdr:spPr>
        <a:xfrm>
          <a:off x="4942262" y="4795544"/>
          <a:ext cx="2324100" cy="60901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US" sz="1100">
              <a:solidFill>
                <a:schemeClr val="dk1"/>
              </a:solidFill>
              <a:effectLst/>
              <a:latin typeface="+mn-lt"/>
              <a:ea typeface="+mn-ea"/>
              <a:cs typeface="+mn-cs"/>
            </a:rPr>
            <a:t>Enter</a:t>
          </a:r>
          <a:r>
            <a:rPr lang="en-US" sz="1100" baseline="0">
              <a:solidFill>
                <a:schemeClr val="dk1"/>
              </a:solidFill>
              <a:effectLst/>
              <a:latin typeface="+mn-lt"/>
              <a:ea typeface="+mn-ea"/>
              <a:cs typeface="+mn-cs"/>
            </a:rPr>
            <a:t> on "Excluded Leases" sheet with reason for exclusion as "short-term".</a:t>
          </a:r>
          <a:endParaRPr lang="en-US">
            <a:effectLst/>
          </a:endParaRPr>
        </a:p>
      </xdr:txBody>
    </xdr:sp>
    <xdr:clientData/>
  </xdr:oneCellAnchor>
  <xdr:twoCellAnchor>
    <xdr:from>
      <xdr:col>5</xdr:col>
      <xdr:colOff>338138</xdr:colOff>
      <xdr:row>19</xdr:row>
      <xdr:rowOff>152495</xdr:rowOff>
    </xdr:from>
    <xdr:to>
      <xdr:col>6</xdr:col>
      <xdr:colOff>342900</xdr:colOff>
      <xdr:row>19</xdr:row>
      <xdr:rowOff>152495</xdr:rowOff>
    </xdr:to>
    <xdr:cxnSp macro="">
      <xdr:nvCxnSpPr>
        <xdr:cNvPr id="81" name="Straight Arrow Connector 80">
          <a:extLst>
            <a:ext uri="{FF2B5EF4-FFF2-40B4-BE49-F238E27FC236}">
              <a16:creationId xmlns:a16="http://schemas.microsoft.com/office/drawing/2014/main" id="{205B2515-EDE2-4B53-BE41-34E7C60B410F}"/>
            </a:ext>
          </a:extLst>
        </xdr:cNvPr>
        <xdr:cNvCxnSpPr>
          <a:stCxn id="72" idx="3"/>
          <a:endCxn id="73" idx="1"/>
        </xdr:cNvCxnSpPr>
      </xdr:nvCxnSpPr>
      <xdr:spPr>
        <a:xfrm>
          <a:off x="3386138" y="3627215"/>
          <a:ext cx="61436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125730</xdr:colOff>
      <xdr:row>19</xdr:row>
      <xdr:rowOff>148166</xdr:rowOff>
    </xdr:from>
    <xdr:to>
      <xdr:col>8</xdr:col>
      <xdr:colOff>95250</xdr:colOff>
      <xdr:row>19</xdr:row>
      <xdr:rowOff>148479</xdr:rowOff>
    </xdr:to>
    <xdr:cxnSp macro="">
      <xdr:nvCxnSpPr>
        <xdr:cNvPr id="82" name="Straight Arrow Connector 81">
          <a:extLst>
            <a:ext uri="{FF2B5EF4-FFF2-40B4-BE49-F238E27FC236}">
              <a16:creationId xmlns:a16="http://schemas.microsoft.com/office/drawing/2014/main" id="{130C8416-08BF-44CF-81E4-595C5BD955D1}"/>
            </a:ext>
          </a:extLst>
        </xdr:cNvPr>
        <xdr:cNvCxnSpPr>
          <a:stCxn id="73" idx="3"/>
          <a:endCxn id="74" idx="1"/>
        </xdr:cNvCxnSpPr>
      </xdr:nvCxnSpPr>
      <xdr:spPr>
        <a:xfrm>
          <a:off x="4392930" y="3622886"/>
          <a:ext cx="579120" cy="31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334328</xdr:colOff>
      <xdr:row>27</xdr:row>
      <xdr:rowOff>155396</xdr:rowOff>
    </xdr:from>
    <xdr:to>
      <xdr:col>6</xdr:col>
      <xdr:colOff>342900</xdr:colOff>
      <xdr:row>27</xdr:row>
      <xdr:rowOff>174101</xdr:rowOff>
    </xdr:to>
    <xdr:cxnSp macro="">
      <xdr:nvCxnSpPr>
        <xdr:cNvPr id="83" name="Straight Arrow Connector 82">
          <a:extLst>
            <a:ext uri="{FF2B5EF4-FFF2-40B4-BE49-F238E27FC236}">
              <a16:creationId xmlns:a16="http://schemas.microsoft.com/office/drawing/2014/main" id="{32C58573-DA26-44DA-B727-BF8366F95015}"/>
            </a:ext>
          </a:extLst>
        </xdr:cNvPr>
        <xdr:cNvCxnSpPr>
          <a:cxnSpLocks/>
          <a:stCxn id="76" idx="3"/>
          <a:endCxn id="78" idx="1"/>
        </xdr:cNvCxnSpPr>
      </xdr:nvCxnSpPr>
      <xdr:spPr>
        <a:xfrm flipV="1">
          <a:off x="3382328" y="5093156"/>
          <a:ext cx="618172" cy="1870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125730</xdr:colOff>
      <xdr:row>27</xdr:row>
      <xdr:rowOff>155396</xdr:rowOff>
    </xdr:from>
    <xdr:to>
      <xdr:col>8</xdr:col>
      <xdr:colOff>63557</xdr:colOff>
      <xdr:row>27</xdr:row>
      <xdr:rowOff>163330</xdr:rowOff>
    </xdr:to>
    <xdr:cxnSp macro="">
      <xdr:nvCxnSpPr>
        <xdr:cNvPr id="84" name="Straight Arrow Connector 83">
          <a:extLst>
            <a:ext uri="{FF2B5EF4-FFF2-40B4-BE49-F238E27FC236}">
              <a16:creationId xmlns:a16="http://schemas.microsoft.com/office/drawing/2014/main" id="{CACCF1D0-A4FE-427F-A3FC-A755F0D91119}"/>
            </a:ext>
          </a:extLst>
        </xdr:cNvPr>
        <xdr:cNvCxnSpPr>
          <a:stCxn id="78" idx="3"/>
          <a:endCxn id="80" idx="1"/>
        </xdr:cNvCxnSpPr>
      </xdr:nvCxnSpPr>
      <xdr:spPr>
        <a:xfrm>
          <a:off x="4392930" y="5093156"/>
          <a:ext cx="547427" cy="793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21</xdr:row>
      <xdr:rowOff>162115</xdr:rowOff>
    </xdr:from>
    <xdr:to>
      <xdr:col>3</xdr:col>
      <xdr:colOff>295275</xdr:colOff>
      <xdr:row>23</xdr:row>
      <xdr:rowOff>66675</xdr:rowOff>
    </xdr:to>
    <xdr:cxnSp macro="">
      <xdr:nvCxnSpPr>
        <xdr:cNvPr id="85" name="Straight Arrow Connector 84">
          <a:extLst>
            <a:ext uri="{FF2B5EF4-FFF2-40B4-BE49-F238E27FC236}">
              <a16:creationId xmlns:a16="http://schemas.microsoft.com/office/drawing/2014/main" id="{C1D1AB59-CDE1-4963-A01C-A4FDF6400ADA}"/>
            </a:ext>
          </a:extLst>
        </xdr:cNvPr>
        <xdr:cNvCxnSpPr/>
      </xdr:nvCxnSpPr>
      <xdr:spPr>
        <a:xfrm>
          <a:off x="2124075" y="4002595"/>
          <a:ext cx="0" cy="27032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289561</xdr:colOff>
      <xdr:row>24</xdr:row>
      <xdr:rowOff>136925</xdr:rowOff>
    </xdr:from>
    <xdr:to>
      <xdr:col>3</xdr:col>
      <xdr:colOff>292418</xdr:colOff>
      <xdr:row>26</xdr:row>
      <xdr:rowOff>53340</xdr:rowOff>
    </xdr:to>
    <xdr:cxnSp macro="">
      <xdr:nvCxnSpPr>
        <xdr:cNvPr id="86" name="Straight Arrow Connector 85">
          <a:extLst>
            <a:ext uri="{FF2B5EF4-FFF2-40B4-BE49-F238E27FC236}">
              <a16:creationId xmlns:a16="http://schemas.microsoft.com/office/drawing/2014/main" id="{3494410E-BD82-4A61-BF5B-F5762B42EFEF}"/>
            </a:ext>
          </a:extLst>
        </xdr:cNvPr>
        <xdr:cNvCxnSpPr>
          <a:stCxn id="75" idx="2"/>
          <a:endCxn id="76" idx="0"/>
        </xdr:cNvCxnSpPr>
      </xdr:nvCxnSpPr>
      <xdr:spPr>
        <a:xfrm flipH="1">
          <a:off x="2118361" y="4526045"/>
          <a:ext cx="2857" cy="28217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289561</xdr:colOff>
      <xdr:row>29</xdr:row>
      <xdr:rowOff>113021</xdr:rowOff>
    </xdr:from>
    <xdr:to>
      <xdr:col>3</xdr:col>
      <xdr:colOff>292418</xdr:colOff>
      <xdr:row>31</xdr:row>
      <xdr:rowOff>152400</xdr:rowOff>
    </xdr:to>
    <xdr:cxnSp macro="">
      <xdr:nvCxnSpPr>
        <xdr:cNvPr id="87" name="Straight Arrow Connector 86">
          <a:extLst>
            <a:ext uri="{FF2B5EF4-FFF2-40B4-BE49-F238E27FC236}">
              <a16:creationId xmlns:a16="http://schemas.microsoft.com/office/drawing/2014/main" id="{E6925D97-B483-4D42-920F-BFD35B426DEA}"/>
            </a:ext>
          </a:extLst>
        </xdr:cNvPr>
        <xdr:cNvCxnSpPr>
          <a:stCxn id="76" idx="2"/>
          <a:endCxn id="79" idx="0"/>
        </xdr:cNvCxnSpPr>
      </xdr:nvCxnSpPr>
      <xdr:spPr>
        <a:xfrm>
          <a:off x="2118361" y="5416541"/>
          <a:ext cx="2857" cy="40513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407194</xdr:colOff>
      <xdr:row>34</xdr:row>
      <xdr:rowOff>171450</xdr:rowOff>
    </xdr:from>
    <xdr:to>
      <xdr:col>5</xdr:col>
      <xdr:colOff>183356</xdr:colOff>
      <xdr:row>36</xdr:row>
      <xdr:rowOff>55010</xdr:rowOff>
    </xdr:to>
    <xdr:sp macro="" textlink="">
      <xdr:nvSpPr>
        <xdr:cNvPr id="88" name="TextBox 87">
          <a:extLst>
            <a:ext uri="{FF2B5EF4-FFF2-40B4-BE49-F238E27FC236}">
              <a16:creationId xmlns:a16="http://schemas.microsoft.com/office/drawing/2014/main" id="{2334B808-428B-4021-A686-04E27A6E6D40}"/>
            </a:ext>
          </a:extLst>
        </xdr:cNvPr>
        <xdr:cNvSpPr txBox="1"/>
      </xdr:nvSpPr>
      <xdr:spPr>
        <a:xfrm>
          <a:off x="1016794" y="6389370"/>
          <a:ext cx="2214562" cy="249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indent="0" algn="ctr"/>
          <a:r>
            <a:rPr lang="en-US" sz="1100">
              <a:solidFill>
                <a:schemeClr val="dk1"/>
              </a:solidFill>
              <a:latin typeface="+mn-lt"/>
              <a:ea typeface="+mn-ea"/>
              <a:cs typeface="+mn-cs"/>
            </a:rPr>
            <a:t>Enter Agreement</a:t>
          </a:r>
          <a:r>
            <a:rPr lang="en-US" sz="1100" baseline="0">
              <a:solidFill>
                <a:schemeClr val="dk1"/>
              </a:solidFill>
              <a:latin typeface="+mn-lt"/>
              <a:ea typeface="+mn-ea"/>
              <a:cs typeface="+mn-cs"/>
            </a:rPr>
            <a:t> into Template</a:t>
          </a:r>
          <a:endParaRPr lang="en-US" sz="1100">
            <a:solidFill>
              <a:schemeClr val="dk1"/>
            </a:solidFill>
            <a:latin typeface="+mn-lt"/>
            <a:ea typeface="+mn-ea"/>
            <a:cs typeface="+mn-cs"/>
          </a:endParaRPr>
        </a:p>
      </xdr:txBody>
    </xdr:sp>
    <xdr:clientData/>
  </xdr:twoCellAnchor>
  <xdr:twoCellAnchor>
    <xdr:from>
      <xdr:col>3</xdr:col>
      <xdr:colOff>295275</xdr:colOff>
      <xdr:row>33</xdr:row>
      <xdr:rowOff>35960</xdr:rowOff>
    </xdr:from>
    <xdr:to>
      <xdr:col>3</xdr:col>
      <xdr:colOff>295276</xdr:colOff>
      <xdr:row>34</xdr:row>
      <xdr:rowOff>171450</xdr:rowOff>
    </xdr:to>
    <xdr:cxnSp macro="">
      <xdr:nvCxnSpPr>
        <xdr:cNvPr id="89" name="Straight Arrow Connector 88">
          <a:extLst>
            <a:ext uri="{FF2B5EF4-FFF2-40B4-BE49-F238E27FC236}">
              <a16:creationId xmlns:a16="http://schemas.microsoft.com/office/drawing/2014/main" id="{10D55E87-B41C-483C-A9B8-1A564024DF92}"/>
            </a:ext>
          </a:extLst>
        </xdr:cNvPr>
        <xdr:cNvCxnSpPr>
          <a:stCxn id="79" idx="2"/>
          <a:endCxn id="88" idx="0"/>
        </xdr:cNvCxnSpPr>
      </xdr:nvCxnSpPr>
      <xdr:spPr>
        <a:xfrm flipH="1">
          <a:off x="2124075" y="6071000"/>
          <a:ext cx="1" cy="31837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331384</xdr:colOff>
      <xdr:row>2</xdr:row>
      <xdr:rowOff>114127</xdr:rowOff>
    </xdr:from>
    <xdr:to>
      <xdr:col>5</xdr:col>
      <xdr:colOff>417109</xdr:colOff>
      <xdr:row>5</xdr:row>
      <xdr:rowOff>9200</xdr:rowOff>
    </xdr:to>
    <xdr:sp macro="" textlink="">
      <xdr:nvSpPr>
        <xdr:cNvPr id="90" name="TextBox 89">
          <a:extLst>
            <a:ext uri="{FF2B5EF4-FFF2-40B4-BE49-F238E27FC236}">
              <a16:creationId xmlns:a16="http://schemas.microsoft.com/office/drawing/2014/main" id="{D42032B3-C2E9-4123-8BEA-BAFDEDA77AC6}"/>
            </a:ext>
          </a:extLst>
        </xdr:cNvPr>
        <xdr:cNvSpPr txBox="1"/>
      </xdr:nvSpPr>
      <xdr:spPr>
        <a:xfrm>
          <a:off x="940984" y="479887"/>
          <a:ext cx="2524125" cy="4437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indent="0" algn="ctr"/>
          <a:r>
            <a:rPr lang="en-US" sz="1100">
              <a:solidFill>
                <a:schemeClr val="dk1"/>
              </a:solidFill>
              <a:latin typeface="+mn-lt"/>
              <a:ea typeface="+mn-ea"/>
              <a:cs typeface="+mn-cs"/>
            </a:rPr>
            <a:t>Are</a:t>
          </a:r>
          <a:r>
            <a:rPr lang="en-US" sz="1100" baseline="0">
              <a:solidFill>
                <a:schemeClr val="dk1"/>
              </a:solidFill>
              <a:latin typeface="+mn-lt"/>
              <a:ea typeface="+mn-ea"/>
              <a:cs typeface="+mn-cs"/>
            </a:rPr>
            <a:t> both the lessee and lessor General Fund Agencies?</a:t>
          </a:r>
          <a:endParaRPr lang="en-US" sz="1100">
            <a:solidFill>
              <a:schemeClr val="dk1"/>
            </a:solidFill>
            <a:latin typeface="+mn-lt"/>
            <a:ea typeface="+mn-ea"/>
            <a:cs typeface="+mn-cs"/>
          </a:endParaRPr>
        </a:p>
      </xdr:txBody>
    </xdr:sp>
    <xdr:clientData/>
  </xdr:twoCellAnchor>
  <xdr:twoCellAnchor>
    <xdr:from>
      <xdr:col>6</xdr:col>
      <xdr:colOff>342900</xdr:colOff>
      <xdr:row>3</xdr:row>
      <xdr:rowOff>20215</xdr:rowOff>
    </xdr:from>
    <xdr:to>
      <xdr:col>7</xdr:col>
      <xdr:colOff>123825</xdr:colOff>
      <xdr:row>4</xdr:row>
      <xdr:rowOff>94275</xdr:rowOff>
    </xdr:to>
    <xdr:sp macro="" textlink="">
      <xdr:nvSpPr>
        <xdr:cNvPr id="91" name="TextBox 90">
          <a:extLst>
            <a:ext uri="{FF2B5EF4-FFF2-40B4-BE49-F238E27FC236}">
              <a16:creationId xmlns:a16="http://schemas.microsoft.com/office/drawing/2014/main" id="{391BD5C1-9AC3-4D32-9CA3-773D439F5AFA}"/>
            </a:ext>
          </a:extLst>
        </xdr:cNvPr>
        <xdr:cNvSpPr txBox="1"/>
      </xdr:nvSpPr>
      <xdr:spPr>
        <a:xfrm>
          <a:off x="4000500" y="568855"/>
          <a:ext cx="390525" cy="256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indent="0" algn="ctr"/>
          <a:r>
            <a:rPr lang="en-US" sz="1100">
              <a:solidFill>
                <a:schemeClr val="dk1"/>
              </a:solidFill>
              <a:latin typeface="+mn-lt"/>
              <a:ea typeface="+mn-ea"/>
              <a:cs typeface="+mn-cs"/>
            </a:rPr>
            <a:t>Yes</a:t>
          </a:r>
        </a:p>
      </xdr:txBody>
    </xdr:sp>
    <xdr:clientData/>
  </xdr:twoCellAnchor>
  <xdr:oneCellAnchor>
    <xdr:from>
      <xdr:col>8</xdr:col>
      <xdr:colOff>134735</xdr:colOff>
      <xdr:row>2</xdr:row>
      <xdr:rowOff>105650</xdr:rowOff>
    </xdr:from>
    <xdr:ext cx="2324100" cy="609013"/>
    <xdr:sp macro="" textlink="">
      <xdr:nvSpPr>
        <xdr:cNvPr id="92" name="TextBox 91">
          <a:extLst>
            <a:ext uri="{FF2B5EF4-FFF2-40B4-BE49-F238E27FC236}">
              <a16:creationId xmlns:a16="http://schemas.microsoft.com/office/drawing/2014/main" id="{5AD8FE62-5FB5-4EB7-8F9D-E4173FA2B270}"/>
            </a:ext>
          </a:extLst>
        </xdr:cNvPr>
        <xdr:cNvSpPr txBox="1"/>
      </xdr:nvSpPr>
      <xdr:spPr>
        <a:xfrm>
          <a:off x="5011535" y="471410"/>
          <a:ext cx="2324100" cy="60901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US" sz="1100"/>
            <a:t>Enter</a:t>
          </a:r>
          <a:r>
            <a:rPr lang="en-US" sz="1100" baseline="0"/>
            <a:t> on "Excluded Leases" sheet with reason for exclusion as "intrafund".</a:t>
          </a:r>
          <a:endParaRPr lang="en-US" sz="1100"/>
        </a:p>
      </xdr:txBody>
    </xdr:sp>
    <xdr:clientData/>
  </xdr:oneCellAnchor>
  <xdr:twoCellAnchor>
    <xdr:from>
      <xdr:col>3</xdr:col>
      <xdr:colOff>61566</xdr:colOff>
      <xdr:row>6</xdr:row>
      <xdr:rowOff>134043</xdr:rowOff>
    </xdr:from>
    <xdr:to>
      <xdr:col>3</xdr:col>
      <xdr:colOff>453996</xdr:colOff>
      <xdr:row>8</xdr:row>
      <xdr:rowOff>24357</xdr:rowOff>
    </xdr:to>
    <xdr:sp macro="" textlink="">
      <xdr:nvSpPr>
        <xdr:cNvPr id="93" name="TextBox 92">
          <a:extLst>
            <a:ext uri="{FF2B5EF4-FFF2-40B4-BE49-F238E27FC236}">
              <a16:creationId xmlns:a16="http://schemas.microsoft.com/office/drawing/2014/main" id="{26B7B708-194C-41C7-8A90-32C2D55FD75B}"/>
            </a:ext>
          </a:extLst>
        </xdr:cNvPr>
        <xdr:cNvSpPr txBox="1"/>
      </xdr:nvSpPr>
      <xdr:spPr>
        <a:xfrm>
          <a:off x="1890366" y="1231323"/>
          <a:ext cx="392430" cy="256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indent="0" algn="ctr"/>
          <a:r>
            <a:rPr lang="en-US" sz="1100">
              <a:solidFill>
                <a:schemeClr val="dk1"/>
              </a:solidFill>
              <a:latin typeface="+mn-lt"/>
              <a:ea typeface="+mn-ea"/>
              <a:cs typeface="+mn-cs"/>
            </a:rPr>
            <a:t>No</a:t>
          </a:r>
        </a:p>
      </xdr:txBody>
    </xdr:sp>
    <xdr:clientData/>
  </xdr:twoCellAnchor>
  <xdr:twoCellAnchor>
    <xdr:from>
      <xdr:col>5</xdr:col>
      <xdr:colOff>417109</xdr:colOff>
      <xdr:row>3</xdr:row>
      <xdr:rowOff>148166</xdr:rowOff>
    </xdr:from>
    <xdr:to>
      <xdr:col>6</xdr:col>
      <xdr:colOff>342900</xdr:colOff>
      <xdr:row>3</xdr:row>
      <xdr:rowOff>153537</xdr:rowOff>
    </xdr:to>
    <xdr:cxnSp macro="">
      <xdr:nvCxnSpPr>
        <xdr:cNvPr id="94" name="Straight Arrow Connector 93">
          <a:extLst>
            <a:ext uri="{FF2B5EF4-FFF2-40B4-BE49-F238E27FC236}">
              <a16:creationId xmlns:a16="http://schemas.microsoft.com/office/drawing/2014/main" id="{7559AEA9-7FBA-47BA-A14A-4344665D28F0}"/>
            </a:ext>
          </a:extLst>
        </xdr:cNvPr>
        <xdr:cNvCxnSpPr>
          <a:stCxn id="90" idx="3"/>
          <a:endCxn id="91" idx="1"/>
        </xdr:cNvCxnSpPr>
      </xdr:nvCxnSpPr>
      <xdr:spPr>
        <a:xfrm flipV="1">
          <a:off x="3465109" y="696806"/>
          <a:ext cx="535391" cy="537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144953</xdr:colOff>
      <xdr:row>3</xdr:row>
      <xdr:rowOff>164522</xdr:rowOff>
    </xdr:from>
    <xdr:to>
      <xdr:col>8</xdr:col>
      <xdr:colOff>69273</xdr:colOff>
      <xdr:row>3</xdr:row>
      <xdr:rowOff>168429</xdr:rowOff>
    </xdr:to>
    <xdr:cxnSp macro="">
      <xdr:nvCxnSpPr>
        <xdr:cNvPr id="95" name="Straight Arrow Connector 94">
          <a:extLst>
            <a:ext uri="{FF2B5EF4-FFF2-40B4-BE49-F238E27FC236}">
              <a16:creationId xmlns:a16="http://schemas.microsoft.com/office/drawing/2014/main" id="{CEAC9D01-6BF4-45EE-9882-668FCD3138FE}"/>
            </a:ext>
          </a:extLst>
        </xdr:cNvPr>
        <xdr:cNvCxnSpPr/>
      </xdr:nvCxnSpPr>
      <xdr:spPr>
        <a:xfrm flipV="1">
          <a:off x="4412153" y="713162"/>
          <a:ext cx="533920" cy="390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284711</xdr:colOff>
      <xdr:row>5</xdr:row>
      <xdr:rowOff>42793</xdr:rowOff>
    </xdr:from>
    <xdr:to>
      <xdr:col>3</xdr:col>
      <xdr:colOff>284711</xdr:colOff>
      <xdr:row>6</xdr:row>
      <xdr:rowOff>125384</xdr:rowOff>
    </xdr:to>
    <xdr:cxnSp macro="">
      <xdr:nvCxnSpPr>
        <xdr:cNvPr id="96" name="Straight Arrow Connector 95">
          <a:extLst>
            <a:ext uri="{FF2B5EF4-FFF2-40B4-BE49-F238E27FC236}">
              <a16:creationId xmlns:a16="http://schemas.microsoft.com/office/drawing/2014/main" id="{7A291866-EAF7-4C2C-8407-59B397D2083F}"/>
            </a:ext>
          </a:extLst>
        </xdr:cNvPr>
        <xdr:cNvCxnSpPr/>
      </xdr:nvCxnSpPr>
      <xdr:spPr>
        <a:xfrm>
          <a:off x="2113511" y="957193"/>
          <a:ext cx="0" cy="26547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258734</xdr:colOff>
      <xdr:row>8</xdr:row>
      <xdr:rowOff>24357</xdr:rowOff>
    </xdr:from>
    <xdr:to>
      <xdr:col>3</xdr:col>
      <xdr:colOff>258734</xdr:colOff>
      <xdr:row>9</xdr:row>
      <xdr:rowOff>118803</xdr:rowOff>
    </xdr:to>
    <xdr:cxnSp macro="">
      <xdr:nvCxnSpPr>
        <xdr:cNvPr id="97" name="Straight Arrow Connector 96">
          <a:extLst>
            <a:ext uri="{FF2B5EF4-FFF2-40B4-BE49-F238E27FC236}">
              <a16:creationId xmlns:a16="http://schemas.microsoft.com/office/drawing/2014/main" id="{443354EF-BFEF-4735-BFC9-02E7D68DB5AA}"/>
            </a:ext>
          </a:extLst>
        </xdr:cNvPr>
        <xdr:cNvCxnSpPr>
          <a:stCxn id="93" idx="2"/>
        </xdr:cNvCxnSpPr>
      </xdr:nvCxnSpPr>
      <xdr:spPr>
        <a:xfrm>
          <a:off x="2087534" y="1487397"/>
          <a:ext cx="0" cy="277326"/>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323764</xdr:colOff>
      <xdr:row>10</xdr:row>
      <xdr:rowOff>114127</xdr:rowOff>
    </xdr:from>
    <xdr:to>
      <xdr:col>5</xdr:col>
      <xdr:colOff>417109</xdr:colOff>
      <xdr:row>13</xdr:row>
      <xdr:rowOff>5390</xdr:rowOff>
    </xdr:to>
    <xdr:sp macro="" textlink="">
      <xdr:nvSpPr>
        <xdr:cNvPr id="98" name="TextBox 97">
          <a:extLst>
            <a:ext uri="{FF2B5EF4-FFF2-40B4-BE49-F238E27FC236}">
              <a16:creationId xmlns:a16="http://schemas.microsoft.com/office/drawing/2014/main" id="{D78D7B74-7869-4F60-A271-8285DB281F73}"/>
            </a:ext>
          </a:extLst>
        </xdr:cNvPr>
        <xdr:cNvSpPr txBox="1"/>
      </xdr:nvSpPr>
      <xdr:spPr>
        <a:xfrm>
          <a:off x="933364" y="1942927"/>
          <a:ext cx="2531745" cy="4399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indent="0" algn="ctr"/>
          <a:r>
            <a:rPr lang="en-US" sz="1100">
              <a:solidFill>
                <a:schemeClr val="dk1"/>
              </a:solidFill>
              <a:latin typeface="+mn-lt"/>
              <a:ea typeface="+mn-ea"/>
              <a:cs typeface="+mn-cs"/>
            </a:rPr>
            <a:t>Is the lease agreement a service contract?</a:t>
          </a:r>
        </a:p>
      </xdr:txBody>
    </xdr:sp>
    <xdr:clientData/>
  </xdr:twoCellAnchor>
  <xdr:twoCellAnchor>
    <xdr:from>
      <xdr:col>6</xdr:col>
      <xdr:colOff>342900</xdr:colOff>
      <xdr:row>11</xdr:row>
      <xdr:rowOff>20215</xdr:rowOff>
    </xdr:from>
    <xdr:to>
      <xdr:col>7</xdr:col>
      <xdr:colOff>123825</xdr:colOff>
      <xdr:row>12</xdr:row>
      <xdr:rowOff>94275</xdr:rowOff>
    </xdr:to>
    <xdr:sp macro="" textlink="">
      <xdr:nvSpPr>
        <xdr:cNvPr id="99" name="TextBox 98">
          <a:extLst>
            <a:ext uri="{FF2B5EF4-FFF2-40B4-BE49-F238E27FC236}">
              <a16:creationId xmlns:a16="http://schemas.microsoft.com/office/drawing/2014/main" id="{11BD3D57-02C7-4FB5-A2CA-1A01F2BABE1E}"/>
            </a:ext>
          </a:extLst>
        </xdr:cNvPr>
        <xdr:cNvSpPr txBox="1"/>
      </xdr:nvSpPr>
      <xdr:spPr>
        <a:xfrm>
          <a:off x="4000500" y="2031895"/>
          <a:ext cx="390525" cy="256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indent="0" algn="ctr"/>
          <a:r>
            <a:rPr lang="en-US" sz="1100">
              <a:solidFill>
                <a:schemeClr val="dk1"/>
              </a:solidFill>
              <a:latin typeface="+mn-lt"/>
              <a:ea typeface="+mn-ea"/>
              <a:cs typeface="+mn-cs"/>
            </a:rPr>
            <a:t>Yes</a:t>
          </a:r>
        </a:p>
      </xdr:txBody>
    </xdr:sp>
    <xdr:clientData/>
  </xdr:twoCellAnchor>
  <xdr:oneCellAnchor>
    <xdr:from>
      <xdr:col>8</xdr:col>
      <xdr:colOff>134735</xdr:colOff>
      <xdr:row>10</xdr:row>
      <xdr:rowOff>101840</xdr:rowOff>
    </xdr:from>
    <xdr:ext cx="2324100" cy="609013"/>
    <xdr:sp macro="" textlink="">
      <xdr:nvSpPr>
        <xdr:cNvPr id="100" name="TextBox 99">
          <a:extLst>
            <a:ext uri="{FF2B5EF4-FFF2-40B4-BE49-F238E27FC236}">
              <a16:creationId xmlns:a16="http://schemas.microsoft.com/office/drawing/2014/main" id="{178307AB-C77F-42E8-BCDC-29AF47DE927C}"/>
            </a:ext>
          </a:extLst>
        </xdr:cNvPr>
        <xdr:cNvSpPr txBox="1"/>
      </xdr:nvSpPr>
      <xdr:spPr>
        <a:xfrm>
          <a:off x="5011535" y="1930640"/>
          <a:ext cx="2324100" cy="60901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US" sz="1100"/>
            <a:t>Enter</a:t>
          </a:r>
          <a:r>
            <a:rPr lang="en-US" sz="1100" baseline="0"/>
            <a:t> on "Excluded Leases" sheet with reason for exclusion as "service contract".</a:t>
          </a:r>
          <a:endParaRPr lang="en-US" sz="1100"/>
        </a:p>
      </xdr:txBody>
    </xdr:sp>
    <xdr:clientData/>
  </xdr:oneCellAnchor>
  <xdr:twoCellAnchor>
    <xdr:from>
      <xdr:col>3</xdr:col>
      <xdr:colOff>61566</xdr:colOff>
      <xdr:row>14</xdr:row>
      <xdr:rowOff>134043</xdr:rowOff>
    </xdr:from>
    <xdr:to>
      <xdr:col>3</xdr:col>
      <xdr:colOff>453996</xdr:colOff>
      <xdr:row>16</xdr:row>
      <xdr:rowOff>24357</xdr:rowOff>
    </xdr:to>
    <xdr:sp macro="" textlink="">
      <xdr:nvSpPr>
        <xdr:cNvPr id="101" name="TextBox 100">
          <a:extLst>
            <a:ext uri="{FF2B5EF4-FFF2-40B4-BE49-F238E27FC236}">
              <a16:creationId xmlns:a16="http://schemas.microsoft.com/office/drawing/2014/main" id="{3EE20069-0CAA-4401-87BE-E6F232AD6242}"/>
            </a:ext>
          </a:extLst>
        </xdr:cNvPr>
        <xdr:cNvSpPr txBox="1"/>
      </xdr:nvSpPr>
      <xdr:spPr>
        <a:xfrm>
          <a:off x="1890366" y="2694363"/>
          <a:ext cx="392430" cy="256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indent="0" algn="ctr"/>
          <a:r>
            <a:rPr lang="en-US" sz="1100">
              <a:solidFill>
                <a:schemeClr val="dk1"/>
              </a:solidFill>
              <a:latin typeface="+mn-lt"/>
              <a:ea typeface="+mn-ea"/>
              <a:cs typeface="+mn-cs"/>
            </a:rPr>
            <a:t>No</a:t>
          </a:r>
        </a:p>
      </xdr:txBody>
    </xdr:sp>
    <xdr:clientData/>
  </xdr:twoCellAnchor>
  <xdr:twoCellAnchor>
    <xdr:from>
      <xdr:col>5</xdr:col>
      <xdr:colOff>417109</xdr:colOff>
      <xdr:row>11</xdr:row>
      <xdr:rowOff>148166</xdr:rowOff>
    </xdr:from>
    <xdr:to>
      <xdr:col>6</xdr:col>
      <xdr:colOff>342900</xdr:colOff>
      <xdr:row>11</xdr:row>
      <xdr:rowOff>151632</xdr:rowOff>
    </xdr:to>
    <xdr:cxnSp macro="">
      <xdr:nvCxnSpPr>
        <xdr:cNvPr id="102" name="Straight Arrow Connector 101">
          <a:extLst>
            <a:ext uri="{FF2B5EF4-FFF2-40B4-BE49-F238E27FC236}">
              <a16:creationId xmlns:a16="http://schemas.microsoft.com/office/drawing/2014/main" id="{90F3F2A2-1EC9-41DC-B03D-6EED32760604}"/>
            </a:ext>
          </a:extLst>
        </xdr:cNvPr>
        <xdr:cNvCxnSpPr>
          <a:stCxn id="98" idx="3"/>
          <a:endCxn id="99" idx="1"/>
        </xdr:cNvCxnSpPr>
      </xdr:nvCxnSpPr>
      <xdr:spPr>
        <a:xfrm flipV="1">
          <a:off x="3465109" y="2159846"/>
          <a:ext cx="535391" cy="3466"/>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144953</xdr:colOff>
      <xdr:row>11</xdr:row>
      <xdr:rowOff>164522</xdr:rowOff>
    </xdr:from>
    <xdr:to>
      <xdr:col>8</xdr:col>
      <xdr:colOff>69273</xdr:colOff>
      <xdr:row>11</xdr:row>
      <xdr:rowOff>168429</xdr:rowOff>
    </xdr:to>
    <xdr:cxnSp macro="">
      <xdr:nvCxnSpPr>
        <xdr:cNvPr id="103" name="Straight Arrow Connector 102">
          <a:extLst>
            <a:ext uri="{FF2B5EF4-FFF2-40B4-BE49-F238E27FC236}">
              <a16:creationId xmlns:a16="http://schemas.microsoft.com/office/drawing/2014/main" id="{9D3AA3AF-EDED-493F-89A9-C1F972675C3B}"/>
            </a:ext>
          </a:extLst>
        </xdr:cNvPr>
        <xdr:cNvCxnSpPr/>
      </xdr:nvCxnSpPr>
      <xdr:spPr>
        <a:xfrm flipV="1">
          <a:off x="4412153" y="2176202"/>
          <a:ext cx="533920" cy="390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284711</xdr:colOff>
      <xdr:row>13</xdr:row>
      <xdr:rowOff>42793</xdr:rowOff>
    </xdr:from>
    <xdr:to>
      <xdr:col>3</xdr:col>
      <xdr:colOff>284711</xdr:colOff>
      <xdr:row>14</xdr:row>
      <xdr:rowOff>125384</xdr:rowOff>
    </xdr:to>
    <xdr:cxnSp macro="">
      <xdr:nvCxnSpPr>
        <xdr:cNvPr id="104" name="Straight Arrow Connector 103">
          <a:extLst>
            <a:ext uri="{FF2B5EF4-FFF2-40B4-BE49-F238E27FC236}">
              <a16:creationId xmlns:a16="http://schemas.microsoft.com/office/drawing/2014/main" id="{B2A82C27-8FAE-4217-8AA2-26ED7E9D536C}"/>
            </a:ext>
          </a:extLst>
        </xdr:cNvPr>
        <xdr:cNvCxnSpPr/>
      </xdr:nvCxnSpPr>
      <xdr:spPr>
        <a:xfrm>
          <a:off x="2113511" y="2420233"/>
          <a:ext cx="0" cy="26547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258734</xdr:colOff>
      <xdr:row>16</xdr:row>
      <xdr:rowOff>24357</xdr:rowOff>
    </xdr:from>
    <xdr:to>
      <xdr:col>3</xdr:col>
      <xdr:colOff>258734</xdr:colOff>
      <xdr:row>17</xdr:row>
      <xdr:rowOff>118803</xdr:rowOff>
    </xdr:to>
    <xdr:cxnSp macro="">
      <xdr:nvCxnSpPr>
        <xdr:cNvPr id="105" name="Straight Arrow Connector 104">
          <a:extLst>
            <a:ext uri="{FF2B5EF4-FFF2-40B4-BE49-F238E27FC236}">
              <a16:creationId xmlns:a16="http://schemas.microsoft.com/office/drawing/2014/main" id="{54115162-AF1B-44F2-BC69-5E0C5FEBB438}"/>
            </a:ext>
          </a:extLst>
        </xdr:cNvPr>
        <xdr:cNvCxnSpPr>
          <a:stCxn id="101" idx="2"/>
        </xdr:cNvCxnSpPr>
      </xdr:nvCxnSpPr>
      <xdr:spPr>
        <a:xfrm>
          <a:off x="2087534" y="2950437"/>
          <a:ext cx="0" cy="277326"/>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LessorBase" displayName="LessorBase" ref="A5:AW53" totalsRowShown="0">
  <autoFilter ref="A5:AW53" xr:uid="{00000000-0009-0000-0100-000008000000}"/>
  <tableColumns count="49">
    <tableColumn id="30" xr3:uid="{00000000-0010-0000-0000-00001E000000}" name="Type"/>
    <tableColumn id="51" xr3:uid="{00000000-0010-0000-0000-000033000000}" name="Entity" dataDxfId="176">
      <calculatedColumnFormula>'Agency Cover'!$B$3</calculatedColumnFormula>
    </tableColumn>
    <tableColumn id="1" xr3:uid="{00000000-0010-0000-0000-000001000000}" name="AgreementCode"/>
    <tableColumn id="40" xr3:uid="{00000000-0010-0000-0000-000028000000}" name="Multi-_x000a_Record"/>
    <tableColumn id="2" xr3:uid="{00000000-0010-0000-0000-000002000000}" name="AgrmtCode_x000a_Uniq Test" dataDxfId="175">
      <calculatedColumnFormula>COUNTIF(LessorBase[AgreementCode],LessorBase[[#This Row],[AgreementCode]])</calculatedColumnFormula>
    </tableColumn>
    <tableColumn id="3" xr3:uid="{00000000-0010-0000-0000-000003000000}" name="AgreementTitle"/>
    <tableColumn id="49" xr3:uid="{00000000-0010-0000-0000-000031000000}" name="AgrmtTitle_x000a_Uniq Test" dataDxfId="174">
      <calculatedColumnFormula>COUNTIF(LessorBase[AgreementTitle],LessorBase[[#This Row],[AgreementTitle]])</calculatedColumnFormula>
    </tableColumn>
    <tableColumn id="4" xr3:uid="{00000000-0010-0000-0000-000004000000}" name="AdditionalAgreementCode"/>
    <tableColumn id="5" xr3:uid="{00000000-0010-0000-0000-000005000000}" name="AgreementType"/>
    <tableColumn id="6" xr3:uid="{00000000-0010-0000-0000-000006000000}" name="AgreementStatus"/>
    <tableColumn id="7" xr3:uid="{00000000-0010-0000-0000-000007000000}" name="AgreementDescription"/>
    <tableColumn id="8" xr3:uid="{00000000-0010-0000-0000-000008000000}" name="Initial Period_x000a_Start Date" dataDxfId="173"/>
    <tableColumn id="9" xr3:uid="{00000000-0010-0000-0000-000009000000}" name="Initial Period_x000a_End Date" dataDxfId="172"/>
    <tableColumn id="37" xr3:uid="{00000000-0010-0000-0000-000025000000}" name="Incl. Options_x000a_Start Date" dataDxfId="171"/>
    <tableColumn id="50" xr3:uid="{00000000-0010-0000-0000-000032000000}" name="Incl. Options_x000a_End Date" dataDxfId="170"/>
    <tableColumn id="10" xr3:uid="{00000000-0010-0000-0000-00000A000000}" name="Excl. Options_x000a_Start Date" dataDxfId="169"/>
    <tableColumn id="11" xr3:uid="{00000000-0010-0000-0000-00000B000000}" name="Excl. Options_x000a_End Date" dataDxfId="168"/>
    <tableColumn id="57" xr3:uid="{00000000-0010-0000-0000-000039000000}" name="Comments" dataDxfId="167"/>
    <tableColumn id="58" xr3:uid="{00000000-0010-0000-0000-00003A000000}" name="Comments_x000a_Length" dataDxfId="166">
      <calculatedColumnFormula>LEN(LessorBase[[#This Row],[Comments]])</calculatedColumnFormula>
    </tableColumn>
    <tableColumn id="42" xr3:uid="{00000000-0010-0000-0000-00002A000000}" name="Multi-_x000a_Record2" dataDxfId="165">
      <calculatedColumnFormula>LessorBase[[#This Row],[Multi-
Record]]</calculatedColumnFormula>
    </tableColumn>
    <tableColumn id="12" xr3:uid="{00000000-0010-0000-0000-00000C000000}" name="ProvisionReference"/>
    <tableColumn id="13" xr3:uid="{00000000-0010-0000-0000-00000D000000}" name="ProvisionDescription"/>
    <tableColumn id="14" xr3:uid="{00000000-0010-0000-0000-00000E000000}" name="ProvisionType" dataDxfId="164">
      <calculatedColumnFormula>LessorBase[[#This Row],[AgreementType]]</calculatedColumnFormula>
    </tableColumn>
    <tableColumn id="15" xr3:uid="{00000000-0010-0000-0000-00000F000000}" name="FullDescription"/>
    <tableColumn id="16" xr3:uid="{00000000-0010-0000-0000-000010000000}" name="ReportingType"/>
    <tableColumn id="17" xr3:uid="{00000000-0010-0000-0000-000011000000}" name="ReportingCategory" dataDxfId="163">
      <calculatedColumnFormula>LessorBase[[#This Row],[ProvisionType]]</calculatedColumnFormula>
    </tableColumn>
    <tableColumn id="18" xr3:uid="{00000000-0010-0000-0000-000012000000}" name="Reporting_x000a_StartDate" dataDxfId="162"/>
    <tableColumn id="19" xr3:uid="{00000000-0010-0000-0000-000013000000}" name="Reporting_x000a_EndDate" dataDxfId="161">
      <calculatedColumnFormula>IF(LessorBase[[#This Row],[Incl. Options
End Date]]&gt;0,LessorBase[[#This Row],[Incl. Options
End Date]],LessorBase[[#This Row],[Initial Period
End Date]])</calculatedColumnFormula>
    </tableColumn>
    <tableColumn id="20" xr3:uid="{00000000-0010-0000-0000-000014000000}" name="Payment_x000a_Amount" dataDxfId="160"/>
    <tableColumn id="21" xr3:uid="{00000000-0010-0000-0000-000015000000}" name="Payment_x000a_Frequency"/>
    <tableColumn id="22" xr3:uid="{00000000-0010-0000-0000-000016000000}" name="Payment_x000a_Timing"/>
    <tableColumn id="23" xr3:uid="{00000000-0010-0000-0000-000017000000}" name="Annual_x000a_Rate" dataDxfId="159"/>
    <tableColumn id="25" xr3:uid="{00000000-0010-0000-0000-000019000000}" name="Payment_x000a_StartDate" dataDxfId="158"/>
    <tableColumn id="26" xr3:uid="{00000000-0010-0000-0000-00001A000000}" name="Payment_x000a_EndDate" dataDxfId="157">
      <calculatedColumnFormula>IF(LessorBase[[#This Row],[Incl. Options
End Date]]&gt;0,LessorBase[[#This Row],[Incl. Options
End Date]],LessorBase[[#This Row],[Initial Period
End Date]])</calculatedColumnFormula>
    </tableColumn>
    <tableColumn id="52" xr3:uid="{00000000-0010-0000-0000-000034000000}" name="Number of_x000a_ Payments" dataDxfId="156">
      <calculatedColumnFormula array="1">ROUND(ROUND((LessorBase[[#This Row],[Payment
EndDate]]-LessorBase[[#This Row],[Payment
StartDate]])/365,2)*_xlfn.IFS(LessorBase[[#This Row],[Payment
Frequency]]="MO",12,LessorBase[[#This Row],[Payment
Frequency]]="QT",4,LessorBase[[#This Row],[Payment
Frequency]]="SA",2,LessorBase[[#This Row],[Payment
Frequency]]="AN",1),0)</calculatedColumnFormula>
    </tableColumn>
    <tableColumn id="55" xr3:uid="{00000000-0010-0000-0000-000037000000}" name="Total Amount_x000a_of Payments" dataDxfId="155">
      <calculatedColumnFormula>ROUND(LessorBase[[#This Row],[Payment
Amount]]*LessorBase[[#This Row],[Number of
 Payments]],2)</calculatedColumnFormula>
    </tableColumn>
    <tableColumn id="53" xr3:uid="{00000000-0010-0000-0000-000035000000}" name="Present_x000a_Value" dataDxfId="154">
      <calculatedColumnFormula>IF(LessorBase[[#This Row],[Multi-
Record2]]="Multi-Amount", "calc on import", ROUND(PV(LessorBase[[#This Row],[Annual
Rate]]/IF(LessorBase[[#This Row],[Payment
Frequency]] = "MO",12,IF(LessorBase[[#This Row],[Payment
Frequency]] = "QT",4,IF(LessorBase[[#This Row],[Payment
Frequency]] = "SA",2,IF(LessorBase[[#This Row],[Payment
Frequency]] = "AN",1,0)))),LessorBase[[#This Row],[Number of
 Payments]],LessorBase[[#This Row],[Payment
Amount]],,IF(LessorBase[[#This Row],[Payment
Timing]]="Advance",1,IF(LessorBase[[#This Row],[Payment
Timing]]="Arrears",0,"x")))*-1,2))</calculatedColumnFormula>
    </tableColumn>
    <tableColumn id="54" xr3:uid="{00000000-0010-0000-0000-000036000000}" name="Total_x000a_Interest" dataDxfId="153">
      <calculatedColumnFormula>IF(LessorBase[[#This Row],[Multi-
Record2]]="Multi-Amount", "calc on import",LessorBase[[#This Row],[Total Amount
of Payments]]-LessorBase[[#This Row],[Present
Value]])</calculatedColumnFormula>
    </tableColumn>
    <tableColumn id="38" xr3:uid="{00000000-0010-0000-0000-000026000000}" name="Total_x000a_Deferred Inflow" dataDxfId="152">
      <calculatedColumnFormula>IF(LessorBase[[#This Row],[Multi-
Record2]]="Multi-Amount", "calc on import", LessorBase[[#This Row],[Present
Value]])</calculatedColumnFormula>
    </tableColumn>
    <tableColumn id="41" xr3:uid="{00000000-0010-0000-0000-000029000000}" name="Deferred Inflow_x000a_AmortizationMethod"/>
    <tableColumn id="24" xr3:uid="{00000000-0010-0000-0000-000018000000}" name="Related Party_x000a_Lease"/>
    <tableColumn id="27" xr3:uid="{00000000-0010-0000-0000-00001B000000}" name="Sale - _x000a_Leaseback" dataDxfId="151"/>
    <tableColumn id="28" xr3:uid="{00000000-0010-0000-0000-00001C000000}" name="Lease - _x000a_Leaseback"/>
    <tableColumn id="29" xr3:uid="{00000000-0010-0000-0000-00001D000000}" name="S-T Lease Receivable_x000a_G/L Account"/>
    <tableColumn id="31" xr3:uid="{00000000-0010-0000-0000-00001F000000}" name="L-T Lease Receivable_x000a_G/L Account"/>
    <tableColumn id="32" xr3:uid="{00000000-0010-0000-0000-000020000000}" name="S-T Deferred Inflow of Resources_x000a_G/L Account"/>
    <tableColumn id="33" xr3:uid="{00000000-0010-0000-0000-000021000000}" name="L-T Deferred Inflow of Resources_x000a_G/L Account"/>
    <tableColumn id="34" xr3:uid="{00000000-0010-0000-0000-000022000000}" name="Lease Operating Income_x000a_G/L Account"/>
    <tableColumn id="36" xr3:uid="{00000000-0010-0000-0000-000024000000}" name="Lease Interest Income_x000a_G/L Account"/>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1000000}" name="LessorBaseEx" displayName="LessorBaseEx" ref="A5:AW32" totalsRowShown="0">
  <autoFilter ref="A5:AW32" xr:uid="{00000000-0009-0000-0100-00000A000000}"/>
  <tableColumns count="49">
    <tableColumn id="30" xr3:uid="{00000000-0010-0000-0100-00001E000000}" name="Type"/>
    <tableColumn id="51" xr3:uid="{00000000-0010-0000-0100-000033000000}" name="Entity" dataDxfId="150">
      <calculatedColumnFormula>'Agency Cover'!$B$3</calculatedColumnFormula>
    </tableColumn>
    <tableColumn id="1" xr3:uid="{00000000-0010-0000-0100-000001000000}" name="AgreementCode"/>
    <tableColumn id="59" xr3:uid="{00000000-0010-0000-0100-00003B000000}" name="Multi-_x000a_Record"/>
    <tableColumn id="2" xr3:uid="{00000000-0010-0000-0100-000002000000}" name="AgrmtCode_x000a_Uniq Test" dataDxfId="149">
      <calculatedColumnFormula>COUNTIF(LessorBaseEx[AgreementCode],LessorBaseEx[[#This Row],[AgreementCode]])</calculatedColumnFormula>
    </tableColumn>
    <tableColumn id="3" xr3:uid="{00000000-0010-0000-0100-000003000000}" name="AgreementTitle"/>
    <tableColumn id="49" xr3:uid="{00000000-0010-0000-0100-000031000000}" name="AgrmtTitle_x000a_Uniq Test" dataDxfId="148">
      <calculatedColumnFormula>COUNTIF(LessorBaseEx[AgreementTitle],LessorBaseEx[[#This Row],[AgreementTitle]])</calculatedColumnFormula>
    </tableColumn>
    <tableColumn id="4" xr3:uid="{00000000-0010-0000-0100-000004000000}" name="AdditionalAgreementCode"/>
    <tableColumn id="5" xr3:uid="{00000000-0010-0000-0100-000005000000}" name="AgreementType"/>
    <tableColumn id="6" xr3:uid="{00000000-0010-0000-0100-000006000000}" name="AgreementStatus"/>
    <tableColumn id="7" xr3:uid="{00000000-0010-0000-0100-000007000000}" name="AgreementDescription"/>
    <tableColumn id="8" xr3:uid="{00000000-0010-0000-0100-000008000000}" name="Initial Period_x000a_Start Date" dataDxfId="147"/>
    <tableColumn id="9" xr3:uid="{00000000-0010-0000-0100-000009000000}" name="Initial Period_x000a_End Date" dataDxfId="146"/>
    <tableColumn id="37" xr3:uid="{00000000-0010-0000-0100-000025000000}" name="Incl. Options_x000a_Start Date" dataDxfId="145"/>
    <tableColumn id="50" xr3:uid="{00000000-0010-0000-0100-000032000000}" name="Incl. Options_x000a_End Date" dataDxfId="144"/>
    <tableColumn id="10" xr3:uid="{00000000-0010-0000-0100-00000A000000}" name="Excl. Options_x000a_Start Date" dataDxfId="143"/>
    <tableColumn id="11" xr3:uid="{00000000-0010-0000-0100-00000B000000}" name="Excl. Options_x000a_End Date" dataDxfId="142"/>
    <tableColumn id="57" xr3:uid="{00000000-0010-0000-0100-000039000000}" name="Comments" dataDxfId="141"/>
    <tableColumn id="58" xr3:uid="{00000000-0010-0000-0100-00003A000000}" name="Comments_x000a_Length" dataDxfId="140">
      <calculatedColumnFormula>LEN(LessorBaseEx[[#This Row],[Comments]])</calculatedColumnFormula>
    </tableColumn>
    <tableColumn id="12" xr3:uid="{00000000-0010-0000-0100-00000C000000}" name="Multi-_x000a_Record2" dataDxfId="139">
      <calculatedColumnFormula>LessorBaseEx[[#This Row],[Multi-
Record]]</calculatedColumnFormula>
    </tableColumn>
    <tableColumn id="60" xr3:uid="{00000000-0010-0000-0100-00003C000000}" name="ProvisionReference">
      <calculatedColumnFormula>LessorBaseEx[[#This Row],[AgreementCode]]</calculatedColumnFormula>
    </tableColumn>
    <tableColumn id="13" xr3:uid="{00000000-0010-0000-0100-00000D000000}" name="ProvisionDescription">
      <calculatedColumnFormula>LEFT(LessorBaseEx[[#This Row],[AgreementTitle]],50)</calculatedColumnFormula>
    </tableColumn>
    <tableColumn id="14" xr3:uid="{00000000-0010-0000-0100-00000E000000}" name="ProvisionType" dataDxfId="138">
      <calculatedColumnFormula>LessorBaseEx[[#This Row],[AgreementType]]</calculatedColumnFormula>
    </tableColumn>
    <tableColumn id="15" xr3:uid="{00000000-0010-0000-0100-00000F000000}" name="FullDescription"/>
    <tableColumn id="16" xr3:uid="{00000000-0010-0000-0100-000010000000}" name="ReportingType">
      <calculatedColumnFormula>IF(LessorBaseEx[[#This Row],[Incl. Options
End Date]] = 0, IF(ROUND(ROUND((LessorBaseEx[[#This Row],[Initial Period
End Date]]-LessorBaseEx[[#This Row],[Initial Period
Start Date]])/365,2)*12,0)&lt;=12,"None","Transactional"), IF(ROUND(ROUND((LessorBaseEx[[#This Row],[Incl. Options
End Date]]-LessorBaseEx[[#This Row],[Initial Period
Start Date]])/365,2)*12,0)&lt;=12,"None","Transactional"))</calculatedColumnFormula>
    </tableColumn>
    <tableColumn id="17" xr3:uid="{00000000-0010-0000-0100-000011000000}" name="ReportingCategory" dataDxfId="137">
      <calculatedColumnFormula>LessorBaseEx[[#This Row],[ProvisionType]]</calculatedColumnFormula>
    </tableColumn>
    <tableColumn id="18" xr3:uid="{00000000-0010-0000-0100-000012000000}" name="Reporting_x000a_StartDate" dataDxfId="136"/>
    <tableColumn id="19" xr3:uid="{00000000-0010-0000-0100-000013000000}" name="Reporting_x000a_EndDate" dataDxfId="135">
      <calculatedColumnFormula>IF(LessorBaseEx[[#This Row],[Incl. Options
End Date]]&gt;0,LessorBaseEx[[#This Row],[Incl. Options
End Date]],LessorBaseEx[[#This Row],[Initial Period
End Date]])</calculatedColumnFormula>
    </tableColumn>
    <tableColumn id="20" xr3:uid="{00000000-0010-0000-0100-000014000000}" name="Payment_x000a_Amount" dataDxfId="134"/>
    <tableColumn id="21" xr3:uid="{00000000-0010-0000-0100-000015000000}" name="Payment_x000a_Frequency"/>
    <tableColumn id="22" xr3:uid="{00000000-0010-0000-0100-000016000000}" name="Payment_x000a_Timing"/>
    <tableColumn id="23" xr3:uid="{00000000-0010-0000-0100-000017000000}" name="Annual_x000a_Rate" dataDxfId="133"/>
    <tableColumn id="25" xr3:uid="{00000000-0010-0000-0100-000019000000}" name="Payment_x000a_StartDate" dataDxfId="132"/>
    <tableColumn id="26" xr3:uid="{00000000-0010-0000-0100-00001A000000}" name="Payment_x000a_EndDate" dataDxfId="131"/>
    <tableColumn id="52" xr3:uid="{00000000-0010-0000-0100-000034000000}" name="Number of_x000a_ Payments" dataDxfId="130">
      <calculatedColumnFormula array="1">ROUND(ROUND((LessorBaseEx[[#This Row],[Payment
EndDate]]-LessorBaseEx[[#This Row],[Payment
StartDate]])/365,2)*_xlfn.IFS(LessorBaseEx[[#This Row],[Payment
Frequency]]="MO",12,LessorBaseEx[[#This Row],[Payment
Frequency]]="QT",4,LessorBaseEx[[#This Row],[Payment
Frequency]]="SA",2,LessorBaseEx[[#This Row],[Payment
Frequency]]="AN",1),0)</calculatedColumnFormula>
    </tableColumn>
    <tableColumn id="55" xr3:uid="{00000000-0010-0000-0100-000037000000}" name="Total Amount_x000a_of Payments" dataDxfId="129">
      <calculatedColumnFormula>ROUND(LessorBaseEx[[#This Row],[Payment
Amount]]*LessorBaseEx[[#This Row],[Number of
 Payments]],2)</calculatedColumnFormula>
    </tableColumn>
    <tableColumn id="53" xr3:uid="{00000000-0010-0000-0100-000035000000}" name="Present_x000a_Value" dataDxfId="128">
      <calculatedColumnFormula>IF(LessorBaseEx[[#This Row],[Multi-
Record2]]="Multi-Amount", "calc on import", ROUND(PV(LessorBaseEx[[#This Row],[Annual
Rate]]/IF(LessorBaseEx[[#This Row],[Payment
Frequency]] = "MO",12,IF(LessorBaseEx[[#This Row],[Payment
Frequency]] = "QT",4,IF(LessorBaseEx[[#This Row],[Payment
Frequency]] = "SA",2,IF(LessorBaseEx[[#This Row],[Payment
Frequency]] = "AN",1,0)))),LessorBaseEx[[#This Row],[Number of
 Payments]],LessorBaseEx[[#This Row],[Payment
Amount]],,IF(LessorBaseEx[[#This Row],[Payment
Timing]]="Advance",1,IF(LessorBaseEx[[#This Row],[Payment
Timing]]="Arrears",0,"x")))*-1,2))</calculatedColumnFormula>
    </tableColumn>
    <tableColumn id="54" xr3:uid="{00000000-0010-0000-0100-000036000000}" name="Total_x000a_Interest" dataDxfId="127">
      <calculatedColumnFormula>IF(LessorBaseEx[[#This Row],[Multi-
Record2]]="Multi-Amount", "calc on import",LessorBaseEx[[#This Row],[Total Amount
of Payments]]-LessorBaseEx[[#This Row],[Present
Value]])</calculatedColumnFormula>
    </tableColumn>
    <tableColumn id="38" xr3:uid="{00000000-0010-0000-0100-000026000000}" name="Total_x000a_Deferred Inflow" dataDxfId="126">
      <calculatedColumnFormula>IF(LessorBaseEx[[#This Row],[Multi-
Record2]]="Multi-Amount", "calc on import", LessorBaseEx[[#This Row],[Present
Value]])</calculatedColumnFormula>
    </tableColumn>
    <tableColumn id="39" xr3:uid="{00000000-0010-0000-0100-000027000000}" name="Deferred Inflow_x000a_AmortizationMethod" dataDxfId="125"/>
    <tableColumn id="24" xr3:uid="{00000000-0010-0000-0100-000018000000}" name="Related Party_x000a_Lease"/>
    <tableColumn id="27" xr3:uid="{00000000-0010-0000-0100-00001B000000}" name="Sale - _x000a_Leaseback" dataDxfId="124"/>
    <tableColumn id="28" xr3:uid="{00000000-0010-0000-0100-00001C000000}" name="Lease - _x000a_Leaseback"/>
    <tableColumn id="29" xr3:uid="{00000000-0010-0000-0100-00001D000000}" name="S-T Lease Receivable_x000a_G/L Account"/>
    <tableColumn id="31" xr3:uid="{00000000-0010-0000-0100-00001F000000}" name="L-T Lease Receivable_x000a_G/L Account"/>
    <tableColumn id="32" xr3:uid="{00000000-0010-0000-0100-000020000000}" name="S-T Deferred Inflow of Resources_x000a_G/L Account"/>
    <tableColumn id="33" xr3:uid="{00000000-0010-0000-0100-000021000000}" name="L-T Deferred Inflow of Resources_x000a_G/L Account"/>
    <tableColumn id="34" xr3:uid="{00000000-0010-0000-0100-000022000000}" name="Lease Operating Income_x000a_G/L Account"/>
    <tableColumn id="36" xr3:uid="{00000000-0010-0000-0100-000024000000}" name="Lease Interest Income_x000a_G/L Account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AgencyRef" displayName="AgencyRef" ref="A3:D124" totalsRowShown="0" headerRowDxfId="123" headerRowBorderDxfId="122" headerRowCellStyle="Normal_Sheet2">
  <autoFilter ref="A3:D124" xr:uid="{00000000-0009-0000-0100-000001000000}"/>
  <tableColumns count="4">
    <tableColumn id="1" xr3:uid="{00000000-0010-0000-0200-000001000000}" name="Entity Code" dataDxfId="121"/>
    <tableColumn id="2" xr3:uid="{00000000-0010-0000-0200-000002000000}" name="Entity Description" dataDxfId="120"/>
    <tableColumn id="3" xr3:uid="{00000000-0010-0000-0200-000003000000}" name="LenTest" dataDxfId="119">
      <calculatedColumnFormula>LEN(AgencyRef[[#This Row],[Entity Description]])</calculatedColumnFormula>
    </tableColumn>
    <tableColumn id="4" xr3:uid="{00000000-0010-0000-0200-000004000000}" name="Combined for Look-up" dataDxfId="118">
      <calculatedColumnFormula>AgencyRef[[#This Row],[Entity Code]]&amp; "-" &amp;AgencyRef[[#This Row],[Entity Description]]</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AgrmtTypeRef" displayName="AgrmtTypeRef" ref="A1:D12" totalsRowShown="0">
  <autoFilter ref="A1:D12" xr:uid="{00000000-0009-0000-0100-000002000000}"/>
  <tableColumns count="4">
    <tableColumn id="1" xr3:uid="{00000000-0010-0000-0300-000001000000}" name="Code (10)"/>
    <tableColumn id="2" xr3:uid="{00000000-0010-0000-0300-000002000000}" name="Description (50)"/>
    <tableColumn id="4" xr3:uid="{00000000-0010-0000-0300-000004000000}" name="LenTest" dataDxfId="117">
      <calculatedColumnFormula>LEN(AgrmtTypeRef[[#This Row],[Description (50)]])</calculatedColumnFormula>
    </tableColumn>
    <tableColumn id="3" xr3:uid="{00000000-0010-0000-0300-000003000000}" name="Sort" dataDxfId="11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ProvTypeRef" displayName="ProvTypeRef" ref="A1:D12" totalsRowShown="0">
  <autoFilter ref="A1:D12" xr:uid="{00000000-0009-0000-0100-000003000000}"/>
  <sortState xmlns:xlrd2="http://schemas.microsoft.com/office/spreadsheetml/2017/richdata2" ref="A2:D12">
    <sortCondition ref="D2:D12"/>
    <sortCondition ref="A2:A12"/>
  </sortState>
  <tableColumns count="4">
    <tableColumn id="1" xr3:uid="{00000000-0010-0000-0400-000001000000}" name="Code (10)"/>
    <tableColumn id="2" xr3:uid="{00000000-0010-0000-0400-000002000000}" name="Description (50)"/>
    <tableColumn id="6" xr3:uid="{00000000-0010-0000-0400-000006000000}" name="LenTest" dataDxfId="115">
      <calculatedColumnFormula>LEN(ProvTypeRef[[#This Row],[Description (50)]])</calculatedColumnFormula>
    </tableColumn>
    <tableColumn id="5" xr3:uid="{00000000-0010-0000-0400-000005000000}" name="Sort" dataDxfId="114"/>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StatusRef" displayName="StatusRef" ref="A1:C4" totalsRowShown="0">
  <autoFilter ref="A1:C4" xr:uid="{00000000-0009-0000-0100-000004000000}"/>
  <sortState xmlns:xlrd2="http://schemas.microsoft.com/office/spreadsheetml/2017/richdata2" ref="A2:C4">
    <sortCondition ref="C2:C4"/>
    <sortCondition ref="A2:A4"/>
  </sortState>
  <tableColumns count="3">
    <tableColumn id="1" xr3:uid="{00000000-0010-0000-0500-000001000000}" name="Code (5)"/>
    <tableColumn id="2" xr3:uid="{00000000-0010-0000-0500-000002000000}" name="Description (50)"/>
    <tableColumn id="3" xr3:uid="{00000000-0010-0000-0500-000003000000}" name="Sort" dataDxfId="11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RptTypeRef" displayName="RptTypeRef" ref="A1:A5" totalsRowShown="0">
  <autoFilter ref="A1:A5" xr:uid="{00000000-0009-0000-0100-000005000000}"/>
  <tableColumns count="1">
    <tableColumn id="1" xr3:uid="{00000000-0010-0000-0600-000001000000}" name="Descriptio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7000000}" name="RptCategoryRef" displayName="RptCategoryRef" ref="A1:B12" totalsRowShown="0">
  <autoFilter ref="A1:B12" xr:uid="{00000000-0009-0000-0100-000006000000}"/>
  <tableColumns count="2">
    <tableColumn id="1" xr3:uid="{00000000-0010-0000-0700-000001000000}" name="FSNoteCategory (50)"/>
    <tableColumn id="2" xr3:uid="{00000000-0010-0000-0700-000002000000}" name="Sort" dataDxfId="11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8000000}" name="AmortMethodRef" displayName="AmortMethodRef" ref="A1:A4" totalsRowShown="0" headerRowDxfId="111">
  <autoFilter ref="A1:A4" xr:uid="{00000000-0009-0000-0100-000007000000}"/>
  <tableColumns count="1">
    <tableColumn id="1" xr3:uid="{00000000-0010-0000-0800-000001000000}" name="Code"/>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9000000}" name="GLAccountRef" displayName="GLAccountRef" ref="A1:C43" totalsRowShown="0">
  <autoFilter ref="A1:C43" xr:uid="{00000000-0009-0000-0100-000009000000}"/>
  <tableColumns count="3">
    <tableColumn id="1" xr3:uid="{00000000-0010-0000-0900-000001000000}" name="Code"/>
    <tableColumn id="2" xr3:uid="{00000000-0010-0000-0900-000002000000}" name="Description"/>
    <tableColumn id="3" xr3:uid="{00000000-0010-0000-0900-000003000000}" name="CodeDescr" dataDxfId="110">
      <calculatedColumnFormula>GLAccountRef[[#This Row],[Code]]&amp;": "&amp;GLAccountRef[[#This Row],[Description]]</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table" Target="../tables/table2.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zoomScale="120" zoomScaleNormal="120" workbookViewId="0">
      <selection activeCell="J32" sqref="J32"/>
    </sheetView>
  </sheetViews>
  <sheetFormatPr defaultRowHeight="15" x14ac:dyDescent="0.25"/>
  <sheetData/>
  <sheetProtection algorithmName="SHA-512" hashValue="l2qrNCAjYG+vM2zR0RDaxCnxP9ZojPyC5SmSWPJJU3a/vfhgao+09SvbMSZD3v4/55gXYT2xNElGmAxYqa1E2g==" saltValue="T4XStf4ewcJZV1KizbLmeQ=="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6"/>
  <sheetViews>
    <sheetView tabSelected="1" workbookViewId="0">
      <selection activeCell="B3" sqref="B3"/>
    </sheetView>
  </sheetViews>
  <sheetFormatPr defaultRowHeight="15" x14ac:dyDescent="0.25"/>
  <cols>
    <col min="1" max="1" width="21.42578125" customWidth="1"/>
    <col min="2" max="2" width="48.28515625" customWidth="1"/>
    <col min="3" max="3" width="48.42578125" bestFit="1" customWidth="1"/>
  </cols>
  <sheetData>
    <row r="1" spans="1:3" x14ac:dyDescent="0.25">
      <c r="A1" s="1" t="s">
        <v>471</v>
      </c>
    </row>
    <row r="3" spans="1:3" x14ac:dyDescent="0.25">
      <c r="A3" s="1" t="s">
        <v>12</v>
      </c>
      <c r="B3" s="55"/>
      <c r="C3" t="s">
        <v>658</v>
      </c>
    </row>
    <row r="4" spans="1:3" x14ac:dyDescent="0.25">
      <c r="A4" s="1"/>
    </row>
    <row r="5" spans="1:3" x14ac:dyDescent="0.25">
      <c r="A5" s="1" t="s">
        <v>13</v>
      </c>
      <c r="B5" s="55"/>
      <c r="C5" t="s">
        <v>658</v>
      </c>
    </row>
    <row r="6" spans="1:3" x14ac:dyDescent="0.25">
      <c r="A6" s="1" t="s">
        <v>659</v>
      </c>
      <c r="B6" s="55"/>
      <c r="C6" t="s">
        <v>658</v>
      </c>
    </row>
    <row r="7" spans="1:3" ht="30" x14ac:dyDescent="0.25">
      <c r="A7" s="13" t="s">
        <v>14</v>
      </c>
      <c r="B7" s="56"/>
      <c r="C7" s="12" t="s">
        <v>660</v>
      </c>
    </row>
    <row r="8" spans="1:3" x14ac:dyDescent="0.25">
      <c r="A8" s="13" t="s">
        <v>15</v>
      </c>
      <c r="B8" s="57"/>
      <c r="C8" s="12"/>
    </row>
    <row r="9" spans="1:3" x14ac:dyDescent="0.25">
      <c r="A9" s="1"/>
    </row>
    <row r="10" spans="1:3" x14ac:dyDescent="0.25">
      <c r="A10" s="1" t="s">
        <v>16</v>
      </c>
      <c r="B10" s="55"/>
      <c r="C10" t="s">
        <v>658</v>
      </c>
    </row>
    <row r="11" spans="1:3" x14ac:dyDescent="0.25">
      <c r="A11" s="1" t="s">
        <v>659</v>
      </c>
      <c r="B11" s="55"/>
      <c r="C11" t="s">
        <v>658</v>
      </c>
    </row>
    <row r="12" spans="1:3" x14ac:dyDescent="0.25">
      <c r="A12" s="13" t="s">
        <v>14</v>
      </c>
      <c r="B12" s="56"/>
      <c r="C12" s="12" t="s">
        <v>658</v>
      </c>
    </row>
    <row r="13" spans="1:3" x14ac:dyDescent="0.25">
      <c r="A13" s="13" t="s">
        <v>15</v>
      </c>
      <c r="B13" s="57"/>
      <c r="C13" s="12"/>
    </row>
    <row r="16" spans="1:3" x14ac:dyDescent="0.25">
      <c r="A16" t="s">
        <v>661</v>
      </c>
    </row>
  </sheetData>
  <dataValidations count="1">
    <dataValidation type="list" allowBlank="1" showInputMessage="1" showErrorMessage="1" errorTitle="Input Error" error="Select the appropriate agency from the listing." promptTitle="Agency Selection" prompt="Select the reporting agency." sqref="B3" xr:uid="{00000000-0002-0000-0100-000000000000}">
      <formula1>INDIRECT("AgencyRef[Combined for Look-up]")</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71"/>
  <sheetViews>
    <sheetView workbookViewId="0">
      <pane ySplit="2" topLeftCell="A3" activePane="bottomLeft" state="frozen"/>
      <selection activeCell="J32" sqref="J32"/>
      <selection pane="bottomLeft" activeCell="E62" sqref="E62"/>
    </sheetView>
  </sheetViews>
  <sheetFormatPr defaultRowHeight="15" x14ac:dyDescent="0.25"/>
  <cols>
    <col min="1" max="1" width="11.85546875" style="3" bestFit="1" customWidth="1"/>
    <col min="2" max="2" width="36.140625" customWidth="1"/>
    <col min="3" max="3" width="13.7109375" style="3" bestFit="1" customWidth="1"/>
    <col min="4" max="4" width="17.85546875" style="3" bestFit="1" customWidth="1"/>
    <col min="5" max="5" width="75.7109375" customWidth="1"/>
  </cols>
  <sheetData>
    <row r="2" spans="1:5" x14ac:dyDescent="0.25">
      <c r="A2" s="2" t="s">
        <v>376</v>
      </c>
      <c r="B2" s="1" t="s">
        <v>374</v>
      </c>
      <c r="C2" s="2" t="s">
        <v>443</v>
      </c>
      <c r="D2" s="2" t="s">
        <v>442</v>
      </c>
      <c r="E2" s="1" t="s">
        <v>375</v>
      </c>
    </row>
    <row r="3" spans="1:5" x14ac:dyDescent="0.25">
      <c r="A3" s="107" t="s">
        <v>570</v>
      </c>
      <c r="B3" s="108"/>
      <c r="C3" s="109"/>
      <c r="D3" s="109"/>
      <c r="E3" s="108"/>
    </row>
    <row r="4" spans="1:5" x14ac:dyDescent="0.25">
      <c r="A4" s="3">
        <v>1</v>
      </c>
      <c r="B4" t="s">
        <v>583</v>
      </c>
    </row>
    <row r="5" spans="1:5" x14ac:dyDescent="0.25">
      <c r="A5" s="3">
        <v>2</v>
      </c>
      <c r="B5" t="s">
        <v>571</v>
      </c>
    </row>
    <row r="6" spans="1:5" x14ac:dyDescent="0.25">
      <c r="A6" s="3">
        <v>3</v>
      </c>
      <c r="B6" t="s">
        <v>572</v>
      </c>
    </row>
    <row r="7" spans="1:5" x14ac:dyDescent="0.25">
      <c r="B7" t="s">
        <v>573</v>
      </c>
    </row>
    <row r="8" spans="1:5" x14ac:dyDescent="0.25">
      <c r="A8" s="3">
        <v>4</v>
      </c>
      <c r="B8" t="s">
        <v>574</v>
      </c>
    </row>
    <row r="9" spans="1:5" x14ac:dyDescent="0.25">
      <c r="A9" s="3">
        <v>5</v>
      </c>
      <c r="B9" t="s">
        <v>575</v>
      </c>
    </row>
    <row r="10" spans="1:5" x14ac:dyDescent="0.25">
      <c r="A10" s="3">
        <v>6</v>
      </c>
      <c r="B10" t="s">
        <v>582</v>
      </c>
    </row>
    <row r="11" spans="1:5" x14ac:dyDescent="0.25">
      <c r="A11" s="3">
        <v>7</v>
      </c>
      <c r="B11" t="s">
        <v>576</v>
      </c>
    </row>
    <row r="12" spans="1:5" x14ac:dyDescent="0.25">
      <c r="B12" t="s">
        <v>577</v>
      </c>
    </row>
    <row r="13" spans="1:5" x14ac:dyDescent="0.25">
      <c r="A13" s="3">
        <v>8</v>
      </c>
      <c r="B13" t="s">
        <v>578</v>
      </c>
    </row>
    <row r="14" spans="1:5" x14ac:dyDescent="0.25">
      <c r="A14" s="3">
        <v>9</v>
      </c>
      <c r="B14" t="s">
        <v>579</v>
      </c>
    </row>
    <row r="15" spans="1:5" x14ac:dyDescent="0.25">
      <c r="B15" s="132" t="s">
        <v>662</v>
      </c>
    </row>
    <row r="16" spans="1:5" x14ac:dyDescent="0.25">
      <c r="A16" s="3">
        <v>10</v>
      </c>
      <c r="B16" t="s">
        <v>580</v>
      </c>
    </row>
    <row r="18" spans="1:5" x14ac:dyDescent="0.25">
      <c r="A18" s="107" t="s">
        <v>581</v>
      </c>
      <c r="B18" s="108"/>
      <c r="C18" s="109"/>
      <c r="D18" s="109"/>
      <c r="E18" s="108"/>
    </row>
    <row r="19" spans="1:5" x14ac:dyDescent="0.25">
      <c r="A19" s="32" t="s">
        <v>377</v>
      </c>
      <c r="B19" s="33" t="s">
        <v>449</v>
      </c>
      <c r="C19" s="46" t="s">
        <v>9</v>
      </c>
      <c r="D19" s="46" t="s">
        <v>8</v>
      </c>
      <c r="E19" s="47" t="s">
        <v>584</v>
      </c>
    </row>
    <row r="20" spans="1:5" x14ac:dyDescent="0.25">
      <c r="A20" s="32" t="s">
        <v>383</v>
      </c>
      <c r="B20" s="33" t="s">
        <v>450</v>
      </c>
      <c r="C20" s="46" t="s">
        <v>9</v>
      </c>
      <c r="D20" s="46" t="s">
        <v>8</v>
      </c>
      <c r="E20" s="47" t="s">
        <v>451</v>
      </c>
    </row>
    <row r="21" spans="1:5" ht="240" x14ac:dyDescent="0.25">
      <c r="A21" s="32" t="s">
        <v>11</v>
      </c>
      <c r="B21" s="33" t="s">
        <v>585</v>
      </c>
      <c r="C21" s="46" t="s">
        <v>9</v>
      </c>
      <c r="D21" s="46" t="s">
        <v>586</v>
      </c>
      <c r="E21" s="47" t="s">
        <v>587</v>
      </c>
    </row>
    <row r="22" spans="1:5" ht="45" x14ac:dyDescent="0.25">
      <c r="A22" s="32" t="s">
        <v>283</v>
      </c>
      <c r="B22" s="33" t="s">
        <v>588</v>
      </c>
      <c r="C22" s="46" t="s">
        <v>9</v>
      </c>
      <c r="D22" s="46" t="s">
        <v>8</v>
      </c>
      <c r="E22" s="47" t="s">
        <v>589</v>
      </c>
    </row>
    <row r="23" spans="1:5" ht="60" x14ac:dyDescent="0.25">
      <c r="A23" s="32" t="s">
        <v>379</v>
      </c>
      <c r="B23" s="33" t="s">
        <v>418</v>
      </c>
      <c r="C23" s="46" t="s">
        <v>444</v>
      </c>
      <c r="D23" s="46" t="s">
        <v>444</v>
      </c>
      <c r="E23" s="47" t="s">
        <v>590</v>
      </c>
    </row>
    <row r="24" spans="1:5" ht="150" x14ac:dyDescent="0.25">
      <c r="A24" s="32" t="s">
        <v>381</v>
      </c>
      <c r="B24" s="33" t="s">
        <v>591</v>
      </c>
      <c r="C24" s="46" t="s">
        <v>9</v>
      </c>
      <c r="D24" s="46" t="s">
        <v>586</v>
      </c>
      <c r="E24" s="47" t="s">
        <v>592</v>
      </c>
    </row>
    <row r="25" spans="1:5" ht="60" x14ac:dyDescent="0.25">
      <c r="A25" s="32" t="s">
        <v>384</v>
      </c>
      <c r="B25" s="33" t="s">
        <v>419</v>
      </c>
      <c r="C25" s="46" t="s">
        <v>444</v>
      </c>
      <c r="D25" s="46" t="s">
        <v>444</v>
      </c>
      <c r="E25" s="47" t="s">
        <v>663</v>
      </c>
    </row>
    <row r="26" spans="1:5" ht="60" x14ac:dyDescent="0.25">
      <c r="A26" s="32" t="s">
        <v>385</v>
      </c>
      <c r="B26" s="33" t="s">
        <v>299</v>
      </c>
      <c r="C26" s="46" t="s">
        <v>8</v>
      </c>
      <c r="D26" s="46" t="s">
        <v>8</v>
      </c>
      <c r="E26" s="47" t="s">
        <v>664</v>
      </c>
    </row>
    <row r="27" spans="1:5" x14ac:dyDescent="0.25">
      <c r="A27" s="32" t="s">
        <v>378</v>
      </c>
      <c r="B27" s="33" t="s">
        <v>297</v>
      </c>
      <c r="C27" s="46" t="s">
        <v>9</v>
      </c>
      <c r="D27" s="46" t="s">
        <v>8</v>
      </c>
      <c r="E27" s="47" t="s">
        <v>674</v>
      </c>
    </row>
    <row r="28" spans="1:5" x14ac:dyDescent="0.25">
      <c r="A28" s="32" t="s">
        <v>386</v>
      </c>
      <c r="B28" s="33" t="s">
        <v>298</v>
      </c>
      <c r="C28" s="46" t="s">
        <v>9</v>
      </c>
      <c r="D28" s="46" t="s">
        <v>8</v>
      </c>
      <c r="E28" s="47" t="s">
        <v>674</v>
      </c>
    </row>
    <row r="29" spans="1:5" ht="45" x14ac:dyDescent="0.25">
      <c r="A29" s="32" t="s">
        <v>387</v>
      </c>
      <c r="B29" s="33" t="s">
        <v>1</v>
      </c>
      <c r="C29" s="46" t="s">
        <v>8</v>
      </c>
      <c r="D29" s="46" t="s">
        <v>8</v>
      </c>
      <c r="E29" s="47" t="s">
        <v>665</v>
      </c>
    </row>
    <row r="30" spans="1:5" x14ac:dyDescent="0.25">
      <c r="A30" s="34" t="s">
        <v>388</v>
      </c>
      <c r="B30" s="35" t="s">
        <v>420</v>
      </c>
      <c r="C30" s="48" t="s">
        <v>9</v>
      </c>
      <c r="D30" s="48" t="s">
        <v>8</v>
      </c>
      <c r="E30" s="47" t="s">
        <v>667</v>
      </c>
    </row>
    <row r="31" spans="1:5" ht="30" x14ac:dyDescent="0.25">
      <c r="A31" s="34" t="s">
        <v>389</v>
      </c>
      <c r="B31" s="35" t="s">
        <v>421</v>
      </c>
      <c r="C31" s="48" t="s">
        <v>9</v>
      </c>
      <c r="D31" s="48" t="s">
        <v>8</v>
      </c>
      <c r="E31" s="47" t="s">
        <v>668</v>
      </c>
    </row>
    <row r="32" spans="1:5" ht="60" x14ac:dyDescent="0.25">
      <c r="A32" s="34" t="s">
        <v>8</v>
      </c>
      <c r="B32" s="35" t="s">
        <v>422</v>
      </c>
      <c r="C32" s="48" t="s">
        <v>8</v>
      </c>
      <c r="D32" s="48" t="s">
        <v>8</v>
      </c>
      <c r="E32" s="47" t="s">
        <v>666</v>
      </c>
    </row>
    <row r="33" spans="1:5" ht="75" x14ac:dyDescent="0.25">
      <c r="A33" s="34" t="s">
        <v>10</v>
      </c>
      <c r="B33" s="35" t="s">
        <v>423</v>
      </c>
      <c r="C33" s="48" t="s">
        <v>8</v>
      </c>
      <c r="D33" s="48" t="s">
        <v>8</v>
      </c>
      <c r="E33" s="47" t="s">
        <v>593</v>
      </c>
    </row>
    <row r="34" spans="1:5" ht="75" x14ac:dyDescent="0.25">
      <c r="A34" s="34" t="s">
        <v>380</v>
      </c>
      <c r="B34" s="35" t="s">
        <v>424</v>
      </c>
      <c r="C34" s="48" t="s">
        <v>8</v>
      </c>
      <c r="D34" s="48" t="s">
        <v>8</v>
      </c>
      <c r="E34" s="47" t="s">
        <v>669</v>
      </c>
    </row>
    <row r="35" spans="1:5" ht="75" x14ac:dyDescent="0.25">
      <c r="A35" s="34" t="s">
        <v>390</v>
      </c>
      <c r="B35" s="35" t="s">
        <v>425</v>
      </c>
      <c r="C35" s="48" t="s">
        <v>8</v>
      </c>
      <c r="D35" s="48" t="s">
        <v>8</v>
      </c>
      <c r="E35" s="47" t="s">
        <v>594</v>
      </c>
    </row>
    <row r="36" spans="1:5" ht="60" x14ac:dyDescent="0.25">
      <c r="A36" s="34" t="s">
        <v>382</v>
      </c>
      <c r="B36" s="36" t="s">
        <v>308</v>
      </c>
      <c r="C36" s="49" t="s">
        <v>8</v>
      </c>
      <c r="D36" s="49" t="s">
        <v>8</v>
      </c>
      <c r="E36" s="47" t="s">
        <v>670</v>
      </c>
    </row>
    <row r="37" spans="1:5" x14ac:dyDescent="0.25">
      <c r="A37" s="34" t="s">
        <v>391</v>
      </c>
      <c r="B37" s="36" t="s">
        <v>426</v>
      </c>
      <c r="C37" s="49" t="s">
        <v>444</v>
      </c>
      <c r="D37" s="49" t="s">
        <v>444</v>
      </c>
      <c r="E37" s="47" t="s">
        <v>595</v>
      </c>
    </row>
    <row r="38" spans="1:5" ht="30" x14ac:dyDescent="0.25">
      <c r="A38" s="37" t="s">
        <v>392</v>
      </c>
      <c r="B38" s="38" t="s">
        <v>596</v>
      </c>
      <c r="C38" s="50" t="s">
        <v>9</v>
      </c>
      <c r="D38" s="50" t="s">
        <v>8</v>
      </c>
      <c r="E38" s="47" t="s">
        <v>597</v>
      </c>
    </row>
    <row r="39" spans="1:5" ht="135" x14ac:dyDescent="0.25">
      <c r="A39" s="37" t="s">
        <v>393</v>
      </c>
      <c r="B39" s="38" t="s">
        <v>302</v>
      </c>
      <c r="C39" s="50" t="s">
        <v>9</v>
      </c>
      <c r="D39" s="50" t="s">
        <v>8</v>
      </c>
      <c r="E39" s="47" t="s">
        <v>671</v>
      </c>
    </row>
    <row r="40" spans="1:5" ht="135" x14ac:dyDescent="0.25">
      <c r="A40" s="37" t="s">
        <v>394</v>
      </c>
      <c r="B40" s="38" t="s">
        <v>303</v>
      </c>
      <c r="C40" s="50" t="s">
        <v>9</v>
      </c>
      <c r="D40" s="50" t="s">
        <v>8</v>
      </c>
      <c r="E40" s="47" t="s">
        <v>672</v>
      </c>
    </row>
    <row r="41" spans="1:5" ht="30" x14ac:dyDescent="0.25">
      <c r="A41" s="37" t="s">
        <v>395</v>
      </c>
      <c r="B41" s="38" t="s">
        <v>301</v>
      </c>
      <c r="C41" s="50" t="s">
        <v>9</v>
      </c>
      <c r="D41" s="50" t="s">
        <v>8</v>
      </c>
      <c r="E41" s="47" t="s">
        <v>673</v>
      </c>
    </row>
    <row r="42" spans="1:5" x14ac:dyDescent="0.25">
      <c r="A42" s="37" t="s">
        <v>396</v>
      </c>
      <c r="B42" s="38" t="s">
        <v>5</v>
      </c>
      <c r="C42" s="50" t="s">
        <v>8</v>
      </c>
      <c r="D42" s="50" t="s">
        <v>8</v>
      </c>
      <c r="E42" s="47" t="s">
        <v>445</v>
      </c>
    </row>
    <row r="43" spans="1:5" ht="75" x14ac:dyDescent="0.25">
      <c r="A43" s="39" t="s">
        <v>9</v>
      </c>
      <c r="B43" s="40" t="s">
        <v>6</v>
      </c>
      <c r="C43" s="51" t="s">
        <v>9</v>
      </c>
      <c r="D43" s="51" t="s">
        <v>8</v>
      </c>
      <c r="E43" s="47" t="s">
        <v>678</v>
      </c>
    </row>
    <row r="44" spans="1:5" ht="30" x14ac:dyDescent="0.25">
      <c r="A44" s="39" t="s">
        <v>397</v>
      </c>
      <c r="B44" s="40" t="s">
        <v>7</v>
      </c>
      <c r="C44" s="51" t="s">
        <v>446</v>
      </c>
      <c r="D44" s="51" t="s">
        <v>8</v>
      </c>
      <c r="E44" s="47" t="s">
        <v>679</v>
      </c>
    </row>
    <row r="45" spans="1:5" ht="30" x14ac:dyDescent="0.25">
      <c r="A45" s="39" t="s">
        <v>398</v>
      </c>
      <c r="B45" s="41" t="s">
        <v>427</v>
      </c>
      <c r="C45" s="51" t="s">
        <v>446</v>
      </c>
      <c r="D45" s="51" t="s">
        <v>8</v>
      </c>
      <c r="E45" s="47" t="s">
        <v>680</v>
      </c>
    </row>
    <row r="46" spans="1:5" ht="75" x14ac:dyDescent="0.25">
      <c r="A46" s="39" t="s">
        <v>399</v>
      </c>
      <c r="B46" s="41" t="s">
        <v>428</v>
      </c>
      <c r="C46" s="51" t="s">
        <v>446</v>
      </c>
      <c r="D46" s="51" t="s">
        <v>8</v>
      </c>
      <c r="E46" s="47" t="s">
        <v>681</v>
      </c>
    </row>
    <row r="47" spans="1:5" ht="45" x14ac:dyDescent="0.25">
      <c r="A47" s="39" t="s">
        <v>400</v>
      </c>
      <c r="B47" s="42" t="s">
        <v>429</v>
      </c>
      <c r="C47" s="51" t="s">
        <v>446</v>
      </c>
      <c r="D47" s="51" t="s">
        <v>8</v>
      </c>
      <c r="E47" s="47" t="s">
        <v>598</v>
      </c>
    </row>
    <row r="48" spans="1:5" ht="105" x14ac:dyDescent="0.25">
      <c r="A48" s="39" t="s">
        <v>401</v>
      </c>
      <c r="B48" s="40" t="s">
        <v>430</v>
      </c>
      <c r="C48" s="51" t="s">
        <v>446</v>
      </c>
      <c r="D48" s="51" t="s">
        <v>8</v>
      </c>
      <c r="E48" s="47" t="s">
        <v>682</v>
      </c>
    </row>
    <row r="49" spans="1:5" ht="45" x14ac:dyDescent="0.25">
      <c r="A49" s="39" t="s">
        <v>402</v>
      </c>
      <c r="B49" s="40" t="s">
        <v>431</v>
      </c>
      <c r="C49" s="51" t="s">
        <v>446</v>
      </c>
      <c r="D49" s="51" t="s">
        <v>8</v>
      </c>
      <c r="E49" s="47" t="s">
        <v>683</v>
      </c>
    </row>
    <row r="50" spans="1:5" ht="60" x14ac:dyDescent="0.25">
      <c r="A50" s="39" t="s">
        <v>403</v>
      </c>
      <c r="B50" s="43" t="s">
        <v>432</v>
      </c>
      <c r="C50" s="51" t="s">
        <v>446</v>
      </c>
      <c r="D50" s="51" t="s">
        <v>8</v>
      </c>
      <c r="E50" s="47" t="s">
        <v>447</v>
      </c>
    </row>
    <row r="51" spans="1:5" ht="60" x14ac:dyDescent="0.25">
      <c r="A51" s="39" t="s">
        <v>404</v>
      </c>
      <c r="B51" s="41" t="s">
        <v>599</v>
      </c>
      <c r="C51" s="51" t="s">
        <v>446</v>
      </c>
      <c r="D51" s="51" t="s">
        <v>8</v>
      </c>
      <c r="E51" s="47" t="s">
        <v>684</v>
      </c>
    </row>
    <row r="52" spans="1:5" ht="30" x14ac:dyDescent="0.25">
      <c r="A52" s="39" t="s">
        <v>405</v>
      </c>
      <c r="B52" s="41" t="s">
        <v>600</v>
      </c>
      <c r="C52" s="51" t="s">
        <v>446</v>
      </c>
      <c r="D52" s="51" t="s">
        <v>8</v>
      </c>
      <c r="E52" s="47" t="s">
        <v>685</v>
      </c>
    </row>
    <row r="53" spans="1:5" x14ac:dyDescent="0.25">
      <c r="A53" s="39" t="s">
        <v>406</v>
      </c>
      <c r="B53" s="40" t="s">
        <v>433</v>
      </c>
      <c r="C53" s="51" t="s">
        <v>444</v>
      </c>
      <c r="D53" s="51" t="s">
        <v>8</v>
      </c>
      <c r="E53" s="47" t="s">
        <v>440</v>
      </c>
    </row>
    <row r="54" spans="1:5" x14ac:dyDescent="0.25">
      <c r="A54" s="39" t="s">
        <v>407</v>
      </c>
      <c r="B54" s="42" t="s">
        <v>434</v>
      </c>
      <c r="C54" s="51" t="s">
        <v>444</v>
      </c>
      <c r="D54" s="51" t="s">
        <v>8</v>
      </c>
      <c r="E54" s="47" t="s">
        <v>440</v>
      </c>
    </row>
    <row r="55" spans="1:5" x14ac:dyDescent="0.25">
      <c r="A55" s="39" t="s">
        <v>408</v>
      </c>
      <c r="B55" s="42" t="s">
        <v>435</v>
      </c>
      <c r="C55" s="51" t="s">
        <v>444</v>
      </c>
      <c r="D55" s="51" t="s">
        <v>8</v>
      </c>
      <c r="E55" s="47" t="s">
        <v>440</v>
      </c>
    </row>
    <row r="56" spans="1:5" x14ac:dyDescent="0.25">
      <c r="A56" s="39" t="s">
        <v>409</v>
      </c>
      <c r="B56" s="42" t="s">
        <v>436</v>
      </c>
      <c r="C56" s="51" t="s">
        <v>444</v>
      </c>
      <c r="D56" s="51" t="s">
        <v>8</v>
      </c>
      <c r="E56" s="47" t="s">
        <v>440</v>
      </c>
    </row>
    <row r="57" spans="1:5" ht="105" x14ac:dyDescent="0.25">
      <c r="A57" s="39" t="s">
        <v>410</v>
      </c>
      <c r="B57" s="42" t="s">
        <v>463</v>
      </c>
      <c r="C57" s="52" t="s">
        <v>446</v>
      </c>
      <c r="D57" s="51" t="s">
        <v>8</v>
      </c>
      <c r="E57" s="47" t="s">
        <v>686</v>
      </c>
    </row>
    <row r="58" spans="1:5" ht="30" x14ac:dyDescent="0.25">
      <c r="A58" s="39" t="s">
        <v>318</v>
      </c>
      <c r="B58" s="42" t="s">
        <v>464</v>
      </c>
      <c r="C58" s="52" t="s">
        <v>8</v>
      </c>
      <c r="D58" s="51" t="s">
        <v>8</v>
      </c>
      <c r="E58" s="47" t="s">
        <v>675</v>
      </c>
    </row>
    <row r="59" spans="1:5" x14ac:dyDescent="0.25">
      <c r="A59" s="39" t="s">
        <v>411</v>
      </c>
      <c r="B59" s="40" t="s">
        <v>437</v>
      </c>
      <c r="C59" s="51" t="s">
        <v>8</v>
      </c>
      <c r="D59" s="51" t="s">
        <v>8</v>
      </c>
      <c r="E59" s="47" t="s">
        <v>687</v>
      </c>
    </row>
    <row r="60" spans="1:5" x14ac:dyDescent="0.25">
      <c r="A60" s="39" t="s">
        <v>412</v>
      </c>
      <c r="B60" s="40" t="s">
        <v>438</v>
      </c>
      <c r="C60" s="51" t="s">
        <v>8</v>
      </c>
      <c r="D60" s="51" t="s">
        <v>8</v>
      </c>
      <c r="E60" s="47" t="s">
        <v>448</v>
      </c>
    </row>
    <row r="61" spans="1:5" x14ac:dyDescent="0.25">
      <c r="A61" s="39" t="s">
        <v>414</v>
      </c>
      <c r="B61" s="40" t="s">
        <v>439</v>
      </c>
      <c r="C61" s="51" t="s">
        <v>8</v>
      </c>
      <c r="D61" s="51" t="s">
        <v>8</v>
      </c>
      <c r="E61" s="47" t="s">
        <v>688</v>
      </c>
    </row>
    <row r="62" spans="1:5" x14ac:dyDescent="0.25">
      <c r="A62" s="44" t="s">
        <v>413</v>
      </c>
      <c r="B62" s="45" t="s">
        <v>465</v>
      </c>
      <c r="C62" s="53"/>
      <c r="D62" s="53"/>
      <c r="E62" s="47" t="s">
        <v>441</v>
      </c>
    </row>
    <row r="63" spans="1:5" x14ac:dyDescent="0.25">
      <c r="A63" s="44" t="s">
        <v>415</v>
      </c>
      <c r="B63" s="45" t="s">
        <v>466</v>
      </c>
      <c r="C63" s="53"/>
      <c r="D63" s="53"/>
      <c r="E63" s="47" t="s">
        <v>441</v>
      </c>
    </row>
    <row r="64" spans="1:5" ht="30" x14ac:dyDescent="0.25">
      <c r="A64" s="44" t="s">
        <v>416</v>
      </c>
      <c r="B64" s="45" t="s">
        <v>467</v>
      </c>
      <c r="C64" s="53"/>
      <c r="D64" s="53"/>
      <c r="E64" s="47" t="s">
        <v>441</v>
      </c>
    </row>
    <row r="65" spans="1:5" ht="30" x14ac:dyDescent="0.25">
      <c r="A65" s="44" t="s">
        <v>417</v>
      </c>
      <c r="B65" s="45" t="s">
        <v>468</v>
      </c>
      <c r="C65" s="53"/>
      <c r="D65" s="53"/>
      <c r="E65" s="47" t="s">
        <v>441</v>
      </c>
    </row>
    <row r="66" spans="1:5" x14ac:dyDescent="0.25">
      <c r="A66" s="44" t="s">
        <v>519</v>
      </c>
      <c r="B66" s="45" t="s">
        <v>469</v>
      </c>
      <c r="C66" s="53"/>
      <c r="D66" s="53"/>
      <c r="E66" s="47" t="s">
        <v>441</v>
      </c>
    </row>
    <row r="67" spans="1:5" x14ac:dyDescent="0.25">
      <c r="A67" s="44" t="s">
        <v>520</v>
      </c>
      <c r="B67" s="45" t="s">
        <v>470</v>
      </c>
      <c r="C67" s="53"/>
      <c r="D67" s="53"/>
      <c r="E67" s="47" t="s">
        <v>441</v>
      </c>
    </row>
    <row r="71" spans="1:5" x14ac:dyDescent="0.25">
      <c r="A71" s="133" t="s">
        <v>676</v>
      </c>
      <c r="B71" s="134" t="s">
        <v>677</v>
      </c>
    </row>
  </sheetData>
  <sheetProtection algorithmName="SHA-512" hashValue="3RgRyAD+6We8lmO2EHDAd301i/yBo+p7M1odr8GGjbw9xWMxXZiTI/9qnx+0P69SVjEKDtdRBwE8Ft984Z/m4A==" saltValue="Vbd30AVMCzGKFDiN04Ji1g==" spinCount="100000" sheet="1" objects="1" scenarios="1"/>
  <autoFilter ref="A2:E66" xr:uid="{00000000-0009-0000-0000-000002000000}"/>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07"/>
  <sheetViews>
    <sheetView workbookViewId="0">
      <selection activeCell="J32" sqref="J32"/>
    </sheetView>
  </sheetViews>
  <sheetFormatPr defaultRowHeight="15" x14ac:dyDescent="0.25"/>
  <cols>
    <col min="2" max="2" width="14.28515625" customWidth="1"/>
    <col min="3" max="3" width="15.140625" customWidth="1"/>
    <col min="4" max="4" width="27.7109375" customWidth="1"/>
    <col min="5" max="5" width="20.42578125" customWidth="1"/>
    <col min="6" max="6" width="28.85546875" customWidth="1"/>
    <col min="7" max="7" width="17.42578125" customWidth="1"/>
    <col min="8" max="8" width="14.140625" bestFit="1" customWidth="1"/>
    <col min="9" max="9" width="17.85546875" bestFit="1" customWidth="1"/>
    <col min="10" max="11" width="12.28515625" customWidth="1"/>
    <col min="12" max="12" width="12.42578125" customWidth="1"/>
    <col min="13" max="13" width="11.7109375" customWidth="1"/>
    <col min="14" max="15" width="10" customWidth="1"/>
    <col min="16" max="17" width="12.7109375" customWidth="1"/>
    <col min="18" max="19" width="20" bestFit="1" customWidth="1"/>
  </cols>
  <sheetData>
    <row r="1" spans="1:4" x14ac:dyDescent="0.25">
      <c r="A1" s="1" t="s">
        <v>472</v>
      </c>
    </row>
    <row r="2" spans="1:4" x14ac:dyDescent="0.25">
      <c r="A2" t="s">
        <v>473</v>
      </c>
    </row>
    <row r="3" spans="1:4" x14ac:dyDescent="0.25">
      <c r="A3" t="s">
        <v>474</v>
      </c>
    </row>
    <row r="4" spans="1:4" x14ac:dyDescent="0.25">
      <c r="A4" t="s">
        <v>556</v>
      </c>
    </row>
    <row r="5" spans="1:4" x14ac:dyDescent="0.25">
      <c r="A5" t="s">
        <v>475</v>
      </c>
    </row>
    <row r="7" spans="1:4" x14ac:dyDescent="0.25">
      <c r="A7" t="s">
        <v>476</v>
      </c>
    </row>
    <row r="9" spans="1:4" x14ac:dyDescent="0.25">
      <c r="A9" t="s">
        <v>477</v>
      </c>
    </row>
    <row r="10" spans="1:4" x14ac:dyDescent="0.25">
      <c r="A10" t="s">
        <v>478</v>
      </c>
    </row>
    <row r="12" spans="1:4" x14ac:dyDescent="0.25">
      <c r="A12" s="1" t="s">
        <v>479</v>
      </c>
    </row>
    <row r="13" spans="1:4" x14ac:dyDescent="0.25">
      <c r="A13" t="s">
        <v>480</v>
      </c>
    </row>
    <row r="14" spans="1:4" x14ac:dyDescent="0.25">
      <c r="A14" t="s">
        <v>481</v>
      </c>
    </row>
    <row r="15" spans="1:4" x14ac:dyDescent="0.25">
      <c r="A15" t="s">
        <v>482</v>
      </c>
    </row>
    <row r="16" spans="1:4" x14ac:dyDescent="0.25">
      <c r="A16" s="58" t="s">
        <v>483</v>
      </c>
      <c r="B16" s="59"/>
      <c r="C16" s="59"/>
      <c r="D16" s="59"/>
    </row>
    <row r="17" spans="1:8" x14ac:dyDescent="0.25">
      <c r="A17" s="60" t="s">
        <v>484</v>
      </c>
    </row>
    <row r="18" spans="1:8" x14ac:dyDescent="0.25">
      <c r="A18" s="60" t="s">
        <v>485</v>
      </c>
    </row>
    <row r="19" spans="1:8" x14ac:dyDescent="0.25">
      <c r="A19" s="60" t="s">
        <v>486</v>
      </c>
    </row>
    <row r="20" spans="1:8" x14ac:dyDescent="0.25">
      <c r="A20" s="60" t="s">
        <v>487</v>
      </c>
    </row>
    <row r="21" spans="1:8" x14ac:dyDescent="0.25">
      <c r="A21" s="60" t="s">
        <v>488</v>
      </c>
    </row>
    <row r="22" spans="1:8" x14ac:dyDescent="0.25">
      <c r="A22" s="60" t="s">
        <v>489</v>
      </c>
    </row>
    <row r="23" spans="1:8" x14ac:dyDescent="0.25">
      <c r="B23" s="2" t="s">
        <v>11</v>
      </c>
      <c r="C23" s="2" t="s">
        <v>283</v>
      </c>
      <c r="D23" s="2" t="s">
        <v>381</v>
      </c>
      <c r="E23" s="2" t="s">
        <v>393</v>
      </c>
      <c r="F23" s="2" t="s">
        <v>394</v>
      </c>
      <c r="G23" s="2" t="s">
        <v>395</v>
      </c>
      <c r="H23" s="2"/>
    </row>
    <row r="24" spans="1:8" ht="30" x14ac:dyDescent="0.25">
      <c r="B24" s="61" t="s">
        <v>490</v>
      </c>
      <c r="C24" s="61" t="s">
        <v>491</v>
      </c>
      <c r="D24" s="62" t="s">
        <v>492</v>
      </c>
      <c r="E24" s="63" t="s">
        <v>302</v>
      </c>
      <c r="F24" s="62" t="s">
        <v>493</v>
      </c>
      <c r="G24" s="62" t="s">
        <v>301</v>
      </c>
    </row>
    <row r="25" spans="1:8" x14ac:dyDescent="0.25">
      <c r="B25" t="s">
        <v>494</v>
      </c>
      <c r="C25" t="s">
        <v>495</v>
      </c>
      <c r="D25" t="s">
        <v>496</v>
      </c>
      <c r="E25" t="s">
        <v>266</v>
      </c>
      <c r="F25" t="s">
        <v>497</v>
      </c>
      <c r="G25" t="s">
        <v>498</v>
      </c>
    </row>
    <row r="26" spans="1:8" x14ac:dyDescent="0.25">
      <c r="B26" t="s">
        <v>494</v>
      </c>
      <c r="C26" t="s">
        <v>495</v>
      </c>
      <c r="D26" t="s">
        <v>496</v>
      </c>
      <c r="E26" t="s">
        <v>499</v>
      </c>
      <c r="F26" t="s">
        <v>500</v>
      </c>
      <c r="G26" t="s">
        <v>501</v>
      </c>
    </row>
    <row r="28" spans="1:8" x14ac:dyDescent="0.25">
      <c r="A28" s="60" t="s">
        <v>502</v>
      </c>
    </row>
    <row r="29" spans="1:8" x14ac:dyDescent="0.25">
      <c r="A29" s="60" t="s">
        <v>503</v>
      </c>
    </row>
    <row r="30" spans="1:8" x14ac:dyDescent="0.25">
      <c r="A30" s="60" t="s">
        <v>504</v>
      </c>
    </row>
    <row r="31" spans="1:8" x14ac:dyDescent="0.25">
      <c r="A31" s="64" t="s">
        <v>505</v>
      </c>
    </row>
    <row r="32" spans="1:8" x14ac:dyDescent="0.25">
      <c r="A32" s="64" t="s">
        <v>506</v>
      </c>
    </row>
    <row r="33" spans="1:4" x14ac:dyDescent="0.25">
      <c r="A33" s="64" t="s">
        <v>507</v>
      </c>
    </row>
    <row r="35" spans="1:4" x14ac:dyDescent="0.25">
      <c r="A35" s="1" t="s">
        <v>508</v>
      </c>
    </row>
    <row r="36" spans="1:4" x14ac:dyDescent="0.25">
      <c r="A36" t="s">
        <v>601</v>
      </c>
    </row>
    <row r="37" spans="1:4" x14ac:dyDescent="0.25">
      <c r="A37" t="s">
        <v>509</v>
      </c>
    </row>
    <row r="38" spans="1:4" x14ac:dyDescent="0.25">
      <c r="A38" t="s">
        <v>510</v>
      </c>
    </row>
    <row r="39" spans="1:4" x14ac:dyDescent="0.25">
      <c r="A39" t="s">
        <v>511</v>
      </c>
    </row>
    <row r="40" spans="1:4" x14ac:dyDescent="0.25">
      <c r="A40" t="s">
        <v>602</v>
      </c>
    </row>
    <row r="41" spans="1:4" x14ac:dyDescent="0.25">
      <c r="A41" t="s">
        <v>512</v>
      </c>
    </row>
    <row r="43" spans="1:4" x14ac:dyDescent="0.25">
      <c r="A43" s="65" t="s">
        <v>513</v>
      </c>
    </row>
    <row r="44" spans="1:4" x14ac:dyDescent="0.25">
      <c r="A44" s="58" t="s">
        <v>483</v>
      </c>
      <c r="B44" s="59"/>
      <c r="C44" s="59"/>
      <c r="D44" s="59"/>
    </row>
    <row r="45" spans="1:4" x14ac:dyDescent="0.25">
      <c r="A45" s="60" t="s">
        <v>514</v>
      </c>
    </row>
    <row r="46" spans="1:4" x14ac:dyDescent="0.25">
      <c r="A46" s="60" t="s">
        <v>515</v>
      </c>
    </row>
    <row r="47" spans="1:4" x14ac:dyDescent="0.25">
      <c r="A47" s="60" t="s">
        <v>516</v>
      </c>
    </row>
    <row r="48" spans="1:4" x14ac:dyDescent="0.25">
      <c r="A48" s="60" t="s">
        <v>517</v>
      </c>
    </row>
    <row r="49" spans="1:19" x14ac:dyDescent="0.25">
      <c r="A49" s="60" t="s">
        <v>518</v>
      </c>
    </row>
    <row r="50" spans="1:19" x14ac:dyDescent="0.25">
      <c r="B50" s="2" t="s">
        <v>11</v>
      </c>
      <c r="C50" s="2" t="s">
        <v>283</v>
      </c>
      <c r="D50" s="2" t="s">
        <v>381</v>
      </c>
      <c r="E50" s="2" t="s">
        <v>393</v>
      </c>
      <c r="F50" s="2" t="s">
        <v>394</v>
      </c>
      <c r="G50" s="2" t="s">
        <v>395</v>
      </c>
      <c r="H50" s="2" t="s">
        <v>9</v>
      </c>
      <c r="I50" s="2" t="s">
        <v>397</v>
      </c>
      <c r="J50" s="2" t="s">
        <v>398</v>
      </c>
      <c r="K50" s="2" t="s">
        <v>399</v>
      </c>
      <c r="L50" s="2" t="s">
        <v>400</v>
      </c>
      <c r="M50" s="2" t="s">
        <v>401</v>
      </c>
      <c r="N50" s="2" t="s">
        <v>402</v>
      </c>
      <c r="O50" s="2" t="s">
        <v>403</v>
      </c>
      <c r="P50" s="2" t="s">
        <v>404</v>
      </c>
      <c r="Q50" s="2" t="s">
        <v>405</v>
      </c>
      <c r="R50" s="2" t="s">
        <v>410</v>
      </c>
      <c r="S50" s="2" t="s">
        <v>318</v>
      </c>
    </row>
    <row r="51" spans="1:19" ht="30" x14ac:dyDescent="0.25">
      <c r="B51" s="61" t="s">
        <v>490</v>
      </c>
      <c r="C51" s="61" t="s">
        <v>491</v>
      </c>
      <c r="D51" s="62" t="s">
        <v>492</v>
      </c>
      <c r="E51" s="63" t="s">
        <v>302</v>
      </c>
      <c r="F51" s="62" t="s">
        <v>493</v>
      </c>
      <c r="G51" s="62" t="s">
        <v>301</v>
      </c>
      <c r="H51" s="63" t="s">
        <v>6</v>
      </c>
      <c r="I51" s="63" t="s">
        <v>7</v>
      </c>
      <c r="J51" s="66" t="s">
        <v>304</v>
      </c>
      <c r="K51" s="66" t="s">
        <v>305</v>
      </c>
      <c r="L51" s="67" t="s">
        <v>315</v>
      </c>
      <c r="M51" s="61" t="s">
        <v>314</v>
      </c>
      <c r="N51" s="61" t="s">
        <v>313</v>
      </c>
      <c r="O51" s="68" t="s">
        <v>306</v>
      </c>
      <c r="P51" s="66" t="s">
        <v>521</v>
      </c>
      <c r="Q51" s="66" t="s">
        <v>522</v>
      </c>
      <c r="R51" s="67" t="s">
        <v>453</v>
      </c>
      <c r="S51" s="61" t="s">
        <v>454</v>
      </c>
    </row>
    <row r="52" spans="1:19" x14ac:dyDescent="0.25">
      <c r="B52" t="s">
        <v>494</v>
      </c>
      <c r="C52" s="17" t="s">
        <v>523</v>
      </c>
      <c r="D52" t="s">
        <v>524</v>
      </c>
      <c r="E52" t="s">
        <v>499</v>
      </c>
      <c r="F52" t="s">
        <v>525</v>
      </c>
      <c r="G52" t="s">
        <v>501</v>
      </c>
      <c r="H52" t="s">
        <v>291</v>
      </c>
      <c r="I52" t="s">
        <v>270</v>
      </c>
      <c r="J52" s="17">
        <v>44013</v>
      </c>
      <c r="K52" s="17">
        <v>49490</v>
      </c>
      <c r="L52" s="19">
        <v>10000</v>
      </c>
      <c r="M52" t="s">
        <v>317</v>
      </c>
      <c r="N52" t="s">
        <v>316</v>
      </c>
      <c r="O52" s="20">
        <v>2.2499999999999999E-2</v>
      </c>
      <c r="P52" s="17">
        <v>44013</v>
      </c>
      <c r="Q52" s="17">
        <v>45838</v>
      </c>
      <c r="R52" t="s">
        <v>603</v>
      </c>
      <c r="S52" t="s">
        <v>526</v>
      </c>
    </row>
    <row r="53" spans="1:19" x14ac:dyDescent="0.25">
      <c r="B53" t="s">
        <v>494</v>
      </c>
      <c r="C53" s="17" t="s">
        <v>523</v>
      </c>
      <c r="D53" t="s">
        <v>524</v>
      </c>
      <c r="E53" t="s">
        <v>499</v>
      </c>
      <c r="F53" t="s">
        <v>525</v>
      </c>
      <c r="G53" t="s">
        <v>501</v>
      </c>
      <c r="H53" t="s">
        <v>291</v>
      </c>
      <c r="I53" t="s">
        <v>270</v>
      </c>
      <c r="J53" s="17">
        <v>44013</v>
      </c>
      <c r="K53" s="17">
        <v>49490</v>
      </c>
      <c r="L53" s="19">
        <v>10300</v>
      </c>
      <c r="M53" t="s">
        <v>317</v>
      </c>
      <c r="N53" t="s">
        <v>316</v>
      </c>
      <c r="O53" s="20">
        <v>2.2499999999999999E-2</v>
      </c>
      <c r="P53" s="17">
        <v>45839</v>
      </c>
      <c r="Q53" s="17">
        <v>47664</v>
      </c>
      <c r="R53" t="s">
        <v>603</v>
      </c>
      <c r="S53" t="s">
        <v>526</v>
      </c>
    </row>
    <row r="54" spans="1:19" x14ac:dyDescent="0.25">
      <c r="B54" t="s">
        <v>494</v>
      </c>
      <c r="C54" s="17" t="s">
        <v>523</v>
      </c>
      <c r="D54" t="s">
        <v>524</v>
      </c>
      <c r="E54" t="s">
        <v>499</v>
      </c>
      <c r="F54" t="s">
        <v>525</v>
      </c>
      <c r="G54" t="s">
        <v>501</v>
      </c>
      <c r="H54" t="s">
        <v>291</v>
      </c>
      <c r="I54" t="s">
        <v>270</v>
      </c>
      <c r="J54" s="17">
        <v>44013</v>
      </c>
      <c r="K54" s="17">
        <v>49490</v>
      </c>
      <c r="L54" s="19">
        <v>10609</v>
      </c>
      <c r="M54" t="s">
        <v>317</v>
      </c>
      <c r="N54" t="s">
        <v>316</v>
      </c>
      <c r="O54" s="20">
        <v>2.2499999999999999E-2</v>
      </c>
      <c r="P54" s="17">
        <v>47665</v>
      </c>
      <c r="Q54" s="17">
        <v>49490</v>
      </c>
      <c r="R54" t="s">
        <v>603</v>
      </c>
      <c r="S54" t="s">
        <v>526</v>
      </c>
    </row>
    <row r="56" spans="1:19" x14ac:dyDescent="0.25">
      <c r="A56" s="60" t="s">
        <v>527</v>
      </c>
    </row>
    <row r="57" spans="1:19" x14ac:dyDescent="0.25">
      <c r="A57" s="60" t="s">
        <v>528</v>
      </c>
    </row>
    <row r="58" spans="1:19" x14ac:dyDescent="0.25">
      <c r="A58" s="60" t="s">
        <v>529</v>
      </c>
    </row>
    <row r="59" spans="1:19" x14ac:dyDescent="0.25">
      <c r="A59" s="60" t="s">
        <v>530</v>
      </c>
    </row>
    <row r="60" spans="1:19" x14ac:dyDescent="0.25">
      <c r="A60" s="64" t="s">
        <v>531</v>
      </c>
    </row>
    <row r="61" spans="1:19" x14ac:dyDescent="0.25">
      <c r="A61" s="64" t="s">
        <v>532</v>
      </c>
    </row>
    <row r="62" spans="1:19" x14ac:dyDescent="0.25">
      <c r="A62" s="64" t="s">
        <v>533</v>
      </c>
    </row>
    <row r="63" spans="1:19" x14ac:dyDescent="0.25">
      <c r="A63" s="64" t="s">
        <v>604</v>
      </c>
    </row>
    <row r="64" spans="1:19" x14ac:dyDescent="0.25">
      <c r="A64" s="64" t="s">
        <v>605</v>
      </c>
    </row>
    <row r="65" spans="1:19" x14ac:dyDescent="0.25">
      <c r="A65" s="69" t="s">
        <v>534</v>
      </c>
    </row>
    <row r="66" spans="1:19" x14ac:dyDescent="0.25">
      <c r="A66" s="64" t="s">
        <v>609</v>
      </c>
    </row>
    <row r="67" spans="1:19" x14ac:dyDescent="0.25">
      <c r="A67" s="64" t="s">
        <v>606</v>
      </c>
    </row>
    <row r="69" spans="1:19" x14ac:dyDescent="0.25">
      <c r="A69" s="65" t="s">
        <v>535</v>
      </c>
    </row>
    <row r="70" spans="1:19" x14ac:dyDescent="0.25">
      <c r="A70" s="64" t="s">
        <v>536</v>
      </c>
    </row>
    <row r="71" spans="1:19" x14ac:dyDescent="0.25">
      <c r="A71" s="58" t="s">
        <v>483</v>
      </c>
      <c r="B71" s="59"/>
      <c r="C71" s="59"/>
      <c r="D71" s="59"/>
    </row>
    <row r="72" spans="1:19" x14ac:dyDescent="0.25">
      <c r="A72" s="60" t="s">
        <v>537</v>
      </c>
    </row>
    <row r="73" spans="1:19" x14ac:dyDescent="0.25">
      <c r="A73" s="60" t="s">
        <v>538</v>
      </c>
    </row>
    <row r="74" spans="1:19" x14ac:dyDescent="0.25">
      <c r="A74" s="60" t="s">
        <v>539</v>
      </c>
    </row>
    <row r="75" spans="1:19" x14ac:dyDescent="0.25">
      <c r="A75" s="60" t="s">
        <v>540</v>
      </c>
    </row>
    <row r="76" spans="1:19" x14ac:dyDescent="0.25">
      <c r="A76" s="60" t="s">
        <v>541</v>
      </c>
    </row>
    <row r="77" spans="1:19" x14ac:dyDescent="0.25">
      <c r="A77" s="60" t="s">
        <v>542</v>
      </c>
    </row>
    <row r="78" spans="1:19" x14ac:dyDescent="0.25">
      <c r="A78" s="60" t="s">
        <v>543</v>
      </c>
    </row>
    <row r="79" spans="1:19" x14ac:dyDescent="0.25">
      <c r="B79" s="2" t="s">
        <v>11</v>
      </c>
      <c r="C79" s="2" t="s">
        <v>283</v>
      </c>
      <c r="D79" s="2" t="s">
        <v>381</v>
      </c>
      <c r="E79" s="2" t="s">
        <v>393</v>
      </c>
      <c r="F79" s="2" t="s">
        <v>394</v>
      </c>
      <c r="G79" s="2" t="s">
        <v>395</v>
      </c>
      <c r="H79" s="2" t="s">
        <v>9</v>
      </c>
      <c r="I79" s="2" t="s">
        <v>397</v>
      </c>
      <c r="J79" s="2" t="s">
        <v>398</v>
      </c>
      <c r="K79" s="2" t="s">
        <v>399</v>
      </c>
      <c r="L79" s="2" t="s">
        <v>400</v>
      </c>
      <c r="M79" s="2" t="s">
        <v>401</v>
      </c>
      <c r="N79" s="2" t="s">
        <v>402</v>
      </c>
      <c r="O79" s="2" t="s">
        <v>403</v>
      </c>
      <c r="P79" s="2" t="s">
        <v>404</v>
      </c>
      <c r="Q79" s="2" t="s">
        <v>405</v>
      </c>
      <c r="R79" s="2" t="s">
        <v>410</v>
      </c>
      <c r="S79" s="2" t="s">
        <v>318</v>
      </c>
    </row>
    <row r="80" spans="1:19" ht="30" x14ac:dyDescent="0.25">
      <c r="B80" s="61" t="s">
        <v>490</v>
      </c>
      <c r="C80" s="61" t="s">
        <v>491</v>
      </c>
      <c r="D80" s="62" t="s">
        <v>492</v>
      </c>
      <c r="E80" s="63" t="s">
        <v>302</v>
      </c>
      <c r="F80" s="62" t="s">
        <v>493</v>
      </c>
      <c r="G80" s="62" t="s">
        <v>301</v>
      </c>
      <c r="H80" s="63" t="s">
        <v>6</v>
      </c>
      <c r="I80" s="63" t="s">
        <v>7</v>
      </c>
      <c r="J80" s="66" t="s">
        <v>304</v>
      </c>
      <c r="K80" s="66" t="s">
        <v>305</v>
      </c>
      <c r="L80" s="67" t="s">
        <v>315</v>
      </c>
      <c r="M80" s="61" t="s">
        <v>314</v>
      </c>
      <c r="N80" s="61" t="s">
        <v>313</v>
      </c>
      <c r="O80" s="68" t="s">
        <v>306</v>
      </c>
      <c r="P80" s="66" t="s">
        <v>521</v>
      </c>
      <c r="Q80" s="66" t="s">
        <v>522</v>
      </c>
      <c r="R80" s="67" t="s">
        <v>453</v>
      </c>
      <c r="S80" s="61" t="s">
        <v>454</v>
      </c>
    </row>
    <row r="81" spans="1:19" x14ac:dyDescent="0.25">
      <c r="B81" s="70" t="s">
        <v>494</v>
      </c>
      <c r="C81" s="70" t="s">
        <v>495</v>
      </c>
      <c r="D81" s="70" t="s">
        <v>496</v>
      </c>
      <c r="E81" s="70" t="s">
        <v>499</v>
      </c>
      <c r="F81" s="70" t="s">
        <v>500</v>
      </c>
      <c r="G81" s="70" t="s">
        <v>501</v>
      </c>
      <c r="H81" s="70" t="s">
        <v>291</v>
      </c>
      <c r="I81" s="70" t="s">
        <v>270</v>
      </c>
      <c r="J81" s="71">
        <v>44013</v>
      </c>
      <c r="K81" s="71">
        <v>49490</v>
      </c>
      <c r="L81" s="72">
        <v>10000</v>
      </c>
      <c r="M81" s="70" t="s">
        <v>317</v>
      </c>
      <c r="N81" s="70" t="s">
        <v>316</v>
      </c>
      <c r="O81" s="73">
        <v>2.2499999999999999E-2</v>
      </c>
      <c r="P81" s="71">
        <v>44013</v>
      </c>
      <c r="Q81" s="71">
        <v>45838</v>
      </c>
      <c r="R81" t="s">
        <v>603</v>
      </c>
      <c r="S81" s="70" t="s">
        <v>526</v>
      </c>
    </row>
    <row r="82" spans="1:19" x14ac:dyDescent="0.25">
      <c r="B82" s="70" t="s">
        <v>494</v>
      </c>
      <c r="C82" s="71" t="s">
        <v>523</v>
      </c>
      <c r="D82" s="70" t="s">
        <v>496</v>
      </c>
      <c r="E82" s="70" t="s">
        <v>499</v>
      </c>
      <c r="F82" s="70" t="s">
        <v>500</v>
      </c>
      <c r="G82" s="70" t="s">
        <v>501</v>
      </c>
      <c r="H82" s="70" t="s">
        <v>291</v>
      </c>
      <c r="I82" s="70" t="s">
        <v>270</v>
      </c>
      <c r="J82" s="71">
        <v>44013</v>
      </c>
      <c r="K82" s="71">
        <v>49490</v>
      </c>
      <c r="L82" s="72">
        <v>10300</v>
      </c>
      <c r="M82" s="70" t="s">
        <v>317</v>
      </c>
      <c r="N82" s="70" t="s">
        <v>316</v>
      </c>
      <c r="O82" s="73">
        <v>2.2499999999999999E-2</v>
      </c>
      <c r="P82" s="71">
        <v>45839</v>
      </c>
      <c r="Q82" s="71">
        <v>47664</v>
      </c>
      <c r="R82" t="s">
        <v>603</v>
      </c>
      <c r="S82" s="70" t="s">
        <v>526</v>
      </c>
    </row>
    <row r="83" spans="1:19" x14ac:dyDescent="0.25">
      <c r="B83" s="70" t="s">
        <v>494</v>
      </c>
      <c r="C83" s="71" t="s">
        <v>523</v>
      </c>
      <c r="D83" s="70" t="s">
        <v>496</v>
      </c>
      <c r="E83" s="70" t="s">
        <v>499</v>
      </c>
      <c r="F83" s="70" t="s">
        <v>500</v>
      </c>
      <c r="G83" s="70" t="s">
        <v>501</v>
      </c>
      <c r="H83" s="70" t="s">
        <v>291</v>
      </c>
      <c r="I83" s="70" t="s">
        <v>270</v>
      </c>
      <c r="J83" s="71">
        <v>44013</v>
      </c>
      <c r="K83" s="71">
        <v>49490</v>
      </c>
      <c r="L83" s="72">
        <v>10609</v>
      </c>
      <c r="M83" s="70" t="s">
        <v>317</v>
      </c>
      <c r="N83" s="70" t="s">
        <v>316</v>
      </c>
      <c r="O83" s="73">
        <v>2.2499999999999999E-2</v>
      </c>
      <c r="P83" s="71">
        <v>47665</v>
      </c>
      <c r="Q83" s="71">
        <v>49490</v>
      </c>
      <c r="R83" t="s">
        <v>603</v>
      </c>
      <c r="S83" s="70" t="s">
        <v>526</v>
      </c>
    </row>
    <row r="84" spans="1:19" x14ac:dyDescent="0.25">
      <c r="B84" s="74" t="s">
        <v>494</v>
      </c>
      <c r="C84" s="74" t="s">
        <v>495</v>
      </c>
      <c r="D84" s="74" t="s">
        <v>496</v>
      </c>
      <c r="E84" s="74" t="s">
        <v>266</v>
      </c>
      <c r="F84" s="74" t="s">
        <v>497</v>
      </c>
      <c r="G84" s="74" t="s">
        <v>498</v>
      </c>
      <c r="H84" s="74" t="s">
        <v>291</v>
      </c>
      <c r="I84" s="74" t="s">
        <v>266</v>
      </c>
      <c r="J84" s="75">
        <v>44013</v>
      </c>
      <c r="K84" s="75">
        <v>49490</v>
      </c>
      <c r="L84" s="76">
        <v>5000</v>
      </c>
      <c r="M84" s="74" t="s">
        <v>317</v>
      </c>
      <c r="N84" s="74" t="s">
        <v>316</v>
      </c>
      <c r="O84" s="77">
        <v>2.75E-2</v>
      </c>
      <c r="P84" s="75">
        <v>44013</v>
      </c>
      <c r="Q84" s="75">
        <v>45838</v>
      </c>
      <c r="R84" t="s">
        <v>603</v>
      </c>
      <c r="S84" s="70" t="s">
        <v>526</v>
      </c>
    </row>
    <row r="85" spans="1:19" x14ac:dyDescent="0.25">
      <c r="B85" s="74" t="s">
        <v>494</v>
      </c>
      <c r="C85" s="75" t="s">
        <v>523</v>
      </c>
      <c r="D85" s="74" t="s">
        <v>496</v>
      </c>
      <c r="E85" s="74" t="s">
        <v>266</v>
      </c>
      <c r="F85" s="74" t="s">
        <v>497</v>
      </c>
      <c r="G85" s="74" t="s">
        <v>498</v>
      </c>
      <c r="H85" s="74" t="s">
        <v>291</v>
      </c>
      <c r="I85" s="74" t="s">
        <v>266</v>
      </c>
      <c r="J85" s="75">
        <v>44013</v>
      </c>
      <c r="K85" s="75">
        <v>49490</v>
      </c>
      <c r="L85" s="76">
        <v>6000</v>
      </c>
      <c r="M85" s="74" t="s">
        <v>317</v>
      </c>
      <c r="N85" s="74" t="s">
        <v>316</v>
      </c>
      <c r="O85" s="77">
        <v>2.75E-2</v>
      </c>
      <c r="P85" s="75">
        <v>45839</v>
      </c>
      <c r="Q85" s="75">
        <v>47664</v>
      </c>
      <c r="R85" t="s">
        <v>603</v>
      </c>
      <c r="S85" s="70" t="s">
        <v>526</v>
      </c>
    </row>
    <row r="86" spans="1:19" x14ac:dyDescent="0.25">
      <c r="B86" s="74" t="s">
        <v>494</v>
      </c>
      <c r="C86" s="75" t="s">
        <v>523</v>
      </c>
      <c r="D86" s="74" t="s">
        <v>496</v>
      </c>
      <c r="E86" s="74" t="s">
        <v>266</v>
      </c>
      <c r="F86" s="74" t="s">
        <v>497</v>
      </c>
      <c r="G86" s="74" t="s">
        <v>498</v>
      </c>
      <c r="H86" s="74" t="s">
        <v>291</v>
      </c>
      <c r="I86" s="74" t="s">
        <v>266</v>
      </c>
      <c r="J86" s="75">
        <v>44013</v>
      </c>
      <c r="K86" s="75">
        <v>49490</v>
      </c>
      <c r="L86" s="76">
        <v>7000</v>
      </c>
      <c r="M86" s="74" t="s">
        <v>317</v>
      </c>
      <c r="N86" s="74" t="s">
        <v>316</v>
      </c>
      <c r="O86" s="77">
        <v>2.75E-2</v>
      </c>
      <c r="P86" s="75">
        <v>47665</v>
      </c>
      <c r="Q86" s="75">
        <v>49490</v>
      </c>
      <c r="R86" t="s">
        <v>603</v>
      </c>
      <c r="S86" s="70" t="s">
        <v>526</v>
      </c>
    </row>
    <row r="87" spans="1:19" x14ac:dyDescent="0.25">
      <c r="B87" t="s">
        <v>494</v>
      </c>
      <c r="C87" t="s">
        <v>495</v>
      </c>
      <c r="D87" t="s">
        <v>496</v>
      </c>
      <c r="E87" t="s">
        <v>544</v>
      </c>
      <c r="F87" t="s">
        <v>545</v>
      </c>
      <c r="G87" t="s">
        <v>544</v>
      </c>
      <c r="H87" t="s">
        <v>290</v>
      </c>
      <c r="I87" s="78"/>
      <c r="J87" s="78"/>
      <c r="K87" s="78"/>
      <c r="L87" s="78"/>
      <c r="M87" s="78"/>
      <c r="N87" s="78"/>
      <c r="O87" s="78"/>
      <c r="P87" s="78"/>
      <c r="Q87" s="78"/>
      <c r="R87" s="78"/>
      <c r="S87" s="78"/>
    </row>
    <row r="89" spans="1:19" x14ac:dyDescent="0.25">
      <c r="A89" s="60" t="s">
        <v>546</v>
      </c>
    </row>
    <row r="90" spans="1:19" x14ac:dyDescent="0.25">
      <c r="A90" s="60" t="s">
        <v>547</v>
      </c>
    </row>
    <row r="91" spans="1:19" x14ac:dyDescent="0.25">
      <c r="A91" s="64" t="s">
        <v>548</v>
      </c>
    </row>
    <row r="92" spans="1:19" x14ac:dyDescent="0.25">
      <c r="A92" s="64" t="s">
        <v>549</v>
      </c>
    </row>
    <row r="93" spans="1:19" x14ac:dyDescent="0.25">
      <c r="A93" s="64" t="s">
        <v>550</v>
      </c>
    </row>
    <row r="94" spans="1:19" x14ac:dyDescent="0.25">
      <c r="A94" s="64" t="s">
        <v>551</v>
      </c>
    </row>
    <row r="95" spans="1:19" x14ac:dyDescent="0.25">
      <c r="A95" s="64" t="s">
        <v>552</v>
      </c>
    </row>
    <row r="96" spans="1:19" x14ac:dyDescent="0.25">
      <c r="A96" s="64" t="s">
        <v>553</v>
      </c>
    </row>
    <row r="97" spans="1:1" x14ac:dyDescent="0.25">
      <c r="A97" s="64" t="s">
        <v>554</v>
      </c>
    </row>
    <row r="98" spans="1:1" x14ac:dyDescent="0.25">
      <c r="A98" s="64" t="s">
        <v>555</v>
      </c>
    </row>
    <row r="99" spans="1:1" x14ac:dyDescent="0.25">
      <c r="A99" s="64" t="s">
        <v>607</v>
      </c>
    </row>
    <row r="100" spans="1:1" x14ac:dyDescent="0.25">
      <c r="A100" s="64" t="s">
        <v>608</v>
      </c>
    </row>
    <row r="101" spans="1:1" x14ac:dyDescent="0.25">
      <c r="A101" s="69" t="s">
        <v>534</v>
      </c>
    </row>
    <row r="102" spans="1:1" x14ac:dyDescent="0.25">
      <c r="A102" s="64" t="s">
        <v>610</v>
      </c>
    </row>
    <row r="103" spans="1:1" x14ac:dyDescent="0.25">
      <c r="A103" s="64" t="s">
        <v>611</v>
      </c>
    </row>
    <row r="105" spans="1:1" x14ac:dyDescent="0.25">
      <c r="A105" s="64"/>
    </row>
    <row r="106" spans="1:1" x14ac:dyDescent="0.25">
      <c r="A106" s="64"/>
    </row>
    <row r="107" spans="1:1" x14ac:dyDescent="0.25">
      <c r="A107" s="64"/>
    </row>
  </sheetData>
  <sheetProtection algorithmName="SHA-512" hashValue="m326DftmVycTsXovNSLDO6YCr+p04gA4bnhRcxDaavsANO3+SbwcB2NszfA6q0+d28JIQiVb2QfqIYDHmehwpg==" saltValue="c/TwopNto1CmtG40NaYC7w=="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W53"/>
  <sheetViews>
    <sheetView workbookViewId="0">
      <pane ySplit="5" topLeftCell="A6" activePane="bottomLeft" state="frozen"/>
      <selection activeCell="J32" sqref="J32"/>
      <selection pane="bottomLeft" activeCell="J32" sqref="J32"/>
    </sheetView>
  </sheetViews>
  <sheetFormatPr defaultRowHeight="15" x14ac:dyDescent="0.25"/>
  <cols>
    <col min="1" max="1" width="8.85546875" customWidth="1"/>
    <col min="2" max="2" width="23.42578125" bestFit="1" customWidth="1"/>
    <col min="3" max="3" width="22.28515625" bestFit="1" customWidth="1"/>
    <col min="4" max="4" width="14" customWidth="1"/>
    <col min="5" max="5" width="15.5703125" bestFit="1" customWidth="1"/>
    <col min="6" max="6" width="50.7109375" customWidth="1"/>
    <col min="7" max="7" width="15" bestFit="1" customWidth="1"/>
    <col min="8" max="8" width="27.5703125" bestFit="1" customWidth="1"/>
    <col min="9" max="9" width="22.42578125" customWidth="1"/>
    <col min="10" max="10" width="18.85546875" bestFit="1" customWidth="1"/>
    <col min="11" max="11" width="50.140625" customWidth="1"/>
    <col min="12" max="17" width="17.7109375" style="17" customWidth="1"/>
    <col min="18" max="18" width="37.28515625" bestFit="1" customWidth="1"/>
    <col min="19" max="19" width="15.140625" style="3" bestFit="1" customWidth="1"/>
    <col min="20" max="20" width="15.140625" style="3" customWidth="1"/>
    <col min="21" max="21" width="21" bestFit="1" customWidth="1"/>
    <col min="22" max="22" width="40.7109375" customWidth="1"/>
    <col min="23" max="23" width="22.140625" bestFit="1" customWidth="1"/>
    <col min="24" max="24" width="35.140625" customWidth="1"/>
    <col min="25" max="25" width="17.42578125" customWidth="1"/>
    <col min="26" max="26" width="22.85546875" customWidth="1"/>
    <col min="27" max="28" width="14.28515625" style="17" bestFit="1" customWidth="1"/>
    <col min="29" max="29" width="15.7109375" style="19" customWidth="1"/>
    <col min="30" max="30" width="14.85546875" bestFit="1" customWidth="1"/>
    <col min="31" max="31" width="13.42578125" bestFit="1" customWidth="1"/>
    <col min="32" max="32" width="12.85546875" style="20" customWidth="1"/>
    <col min="33" max="34" width="14.7109375" style="17" customWidth="1"/>
    <col min="35" max="35" width="15.140625" style="15" bestFit="1" customWidth="1"/>
    <col min="36" max="36" width="17.7109375" style="19" bestFit="1" customWidth="1"/>
    <col min="37" max="38" width="17.7109375" style="19" customWidth="1"/>
    <col min="39" max="39" width="20.7109375" style="19" bestFit="1" customWidth="1"/>
    <col min="40" max="40" width="25.85546875" customWidth="1"/>
    <col min="41" max="41" width="25.5703125" customWidth="1"/>
    <col min="42" max="42" width="15.42578125" style="3" customWidth="1"/>
    <col min="43" max="43" width="18" customWidth="1"/>
    <col min="44" max="44" width="31.85546875" bestFit="1" customWidth="1"/>
    <col min="45" max="45" width="36.140625" bestFit="1" customWidth="1"/>
    <col min="46" max="46" width="39.28515625" customWidth="1"/>
    <col min="47" max="47" width="33.5703125" customWidth="1"/>
    <col min="48" max="48" width="28.85546875" bestFit="1" customWidth="1"/>
    <col min="49" max="49" width="35.28515625" bestFit="1" customWidth="1"/>
  </cols>
  <sheetData>
    <row r="1" spans="1:49" x14ac:dyDescent="0.25">
      <c r="A1" s="89" t="s">
        <v>566</v>
      </c>
      <c r="B1" s="90"/>
      <c r="C1" s="90"/>
      <c r="D1" s="90"/>
      <c r="E1" s="90"/>
      <c r="F1" s="89" t="s">
        <v>566</v>
      </c>
      <c r="G1" s="90"/>
      <c r="H1" s="90"/>
      <c r="I1" s="90"/>
      <c r="J1" s="89" t="s">
        <v>566</v>
      </c>
      <c r="K1" s="90"/>
      <c r="L1" s="91"/>
      <c r="M1" s="91"/>
      <c r="N1" s="91"/>
      <c r="O1" s="89" t="s">
        <v>566</v>
      </c>
      <c r="P1" s="91"/>
      <c r="Q1" s="91"/>
      <c r="R1" s="90"/>
      <c r="S1" s="92"/>
      <c r="T1" s="92"/>
      <c r="U1" s="89" t="s">
        <v>566</v>
      </c>
      <c r="V1" s="89"/>
      <c r="W1" s="90"/>
      <c r="X1" s="90"/>
      <c r="Y1" s="90"/>
      <c r="Z1" s="89" t="s">
        <v>566</v>
      </c>
      <c r="AA1" s="90"/>
      <c r="AB1" s="91"/>
      <c r="AC1" s="91"/>
      <c r="AD1" s="93"/>
      <c r="AE1" s="90"/>
      <c r="AF1" s="90"/>
      <c r="AG1" s="89" t="s">
        <v>566</v>
      </c>
      <c r="AH1" s="91"/>
      <c r="AI1" s="91"/>
      <c r="AJ1" s="90"/>
      <c r="AK1" s="93"/>
      <c r="AL1" s="93"/>
      <c r="AM1" s="89" t="s">
        <v>566</v>
      </c>
      <c r="AN1" s="93"/>
      <c r="AO1" s="93"/>
      <c r="AP1" s="93"/>
      <c r="AQ1" s="93"/>
      <c r="AR1" s="89" t="s">
        <v>566</v>
      </c>
      <c r="AS1" s="90"/>
      <c r="AT1" s="90"/>
      <c r="AU1" s="90"/>
      <c r="AV1" s="89" t="s">
        <v>566</v>
      </c>
      <c r="AW1" s="89"/>
    </row>
    <row r="2" spans="1:49" x14ac:dyDescent="0.25">
      <c r="A2" s="99" t="s">
        <v>321</v>
      </c>
      <c r="B2" s="100"/>
      <c r="C2" s="100"/>
      <c r="D2" s="100"/>
      <c r="E2" s="100"/>
      <c r="F2" s="100"/>
      <c r="G2" s="100"/>
      <c r="H2" s="100"/>
      <c r="I2" s="100"/>
      <c r="J2" s="100"/>
      <c r="K2" s="100"/>
      <c r="L2" s="101"/>
      <c r="M2" s="101"/>
      <c r="N2" s="101"/>
      <c r="O2" s="101"/>
      <c r="P2" s="101"/>
      <c r="Q2" s="102"/>
      <c r="R2" s="103"/>
      <c r="S2" s="104"/>
      <c r="T2" s="95" t="s">
        <v>320</v>
      </c>
      <c r="U2" s="96"/>
      <c r="V2" s="97"/>
      <c r="W2" s="97"/>
      <c r="X2" s="98"/>
      <c r="Y2" s="110" t="s">
        <v>319</v>
      </c>
      <c r="Z2" s="111"/>
      <c r="AA2" s="112"/>
      <c r="AB2" s="112"/>
      <c r="AC2" s="113"/>
      <c r="AD2" s="114" t="s">
        <v>319</v>
      </c>
      <c r="AE2" s="111"/>
      <c r="AF2" s="115"/>
      <c r="AG2" s="112"/>
      <c r="AH2" s="112"/>
      <c r="AI2" s="114" t="s">
        <v>319</v>
      </c>
      <c r="AJ2" s="113"/>
      <c r="AK2" s="113"/>
      <c r="AL2" s="113"/>
      <c r="AM2" s="114" t="s">
        <v>319</v>
      </c>
      <c r="AN2" s="114" t="s">
        <v>319</v>
      </c>
      <c r="AO2" s="116" t="s">
        <v>319</v>
      </c>
      <c r="AP2" s="116"/>
      <c r="AQ2" s="111"/>
      <c r="AR2" s="117" t="str">
        <f>"Blank: " &amp; COUNTIF(LessorBase[S-T Lease Receivable
G/L Account],"")</f>
        <v>Blank: 48</v>
      </c>
      <c r="AS2" s="117" t="str">
        <f>"Blank: " &amp; COUNTIF(LessorBase[L-T Lease Receivable
G/L Account],"")</f>
        <v>Blank: 48</v>
      </c>
      <c r="AT2" s="117" t="str">
        <f>"Blank: " &amp; COUNTIF(LessorBase[S-T Deferred Inflow of Resources
G/L Account],"")</f>
        <v>Blank: 48</v>
      </c>
      <c r="AU2" s="117" t="str">
        <f>"Blank: " &amp; COUNTIF(LessorBase[L-T Deferred Inflow of Resources
G/L Account],"")</f>
        <v>Blank: 48</v>
      </c>
      <c r="AV2" s="117" t="str">
        <f>"Blank: " &amp; COUNTIF(LessorBase[Lease Operating Income
G/L Account],"")</f>
        <v>Blank: 48</v>
      </c>
      <c r="AW2" s="117" t="str">
        <f>"Blank: " &amp; COUNTIF(LessorBase[Lease Interest Income
G/L Account],"")</f>
        <v>Blank: 48</v>
      </c>
    </row>
    <row r="3" spans="1:49" x14ac:dyDescent="0.25">
      <c r="C3" s="31" t="str">
        <f>"Error: " &amp; COUNTIF(LessorBase[AgreementCode],"")</f>
        <v>Error: 47</v>
      </c>
      <c r="D3" s="31" t="str">
        <f>"Error: " &amp; COUNTIF(LessorBase[Multi-
Record],"")</f>
        <v>Error: 0</v>
      </c>
      <c r="E3" s="26" t="str">
        <f>"Error: " &amp; COUNTIFS(LessorBase[AgrmtCode
Uniq Test],"&gt;1",LessorBase[Multi-
Record],"None")</f>
        <v>Error: 0</v>
      </c>
      <c r="F3" s="31" t="str">
        <f>"Error: " &amp; COUNTIF(LessorBase[AgreementTitle],"")</f>
        <v>Error: 47</v>
      </c>
      <c r="G3" s="26" t="str">
        <f>"Error: " &amp; COUNTIFS(LessorBase[AgrmtTitle
Uniq Test],"&gt;1",LessorBase[Multi-
Record],"None")</f>
        <v>Error: 0</v>
      </c>
      <c r="H3" s="3" t="s">
        <v>256</v>
      </c>
      <c r="I3" s="31" t="str">
        <f>"Error: " &amp; COUNTIF(LessorBase[AgreementType],"")</f>
        <v>Error: 48</v>
      </c>
      <c r="J3" s="31" t="str">
        <f>"Error: " &amp; COUNTIF(LessorBase[AgreementStatus],"")</f>
        <v>Error: 48</v>
      </c>
      <c r="K3" s="26" t="str">
        <f>"Error: " &amp; COUNTIF(LessorBase[AgreementDescription],"")</f>
        <v>Error: 48</v>
      </c>
      <c r="L3" s="26" t="str">
        <f>"Error: " &amp; COUNTIF(LessorBase[Initial Period
Start Date],"")</f>
        <v>Error: 48</v>
      </c>
      <c r="M3" s="26" t="str">
        <f>"Error: " &amp; COUNTIF(LessorBase[Initial Period
End Date],"")</f>
        <v>Error: 48</v>
      </c>
      <c r="N3" s="16" t="s">
        <v>256</v>
      </c>
      <c r="O3" s="16" t="s">
        <v>256</v>
      </c>
      <c r="P3" s="16" t="s">
        <v>256</v>
      </c>
      <c r="Q3" s="16" t="s">
        <v>256</v>
      </c>
      <c r="R3" t="s">
        <v>256</v>
      </c>
      <c r="S3" s="26" t="str">
        <f>"Error: " &amp; COUNTIF(LessorBase[Comments
Length], "&gt; 300")</f>
        <v>Error: 0</v>
      </c>
      <c r="T3" s="31" t="str">
        <f>"Error: " &amp; COUNTIF(LessorBase[Multi-
Record2],"")</f>
        <v>Error: 0</v>
      </c>
      <c r="U3" s="31" t="str">
        <f>"Error: " &amp; COUNTIF(LessorBase[ProvisionReference],"")</f>
        <v>Error: 0</v>
      </c>
      <c r="V3" s="31" t="str">
        <f>"Error: " &amp; COUNTIF(LessorBase[ProvisionDescription],"")</f>
        <v>Error: 47</v>
      </c>
      <c r="W3" s="31" t="str">
        <f>"Error: " &amp; COUNTIF(LessorBase[ProvisionType],"")+COUNTIF(LessorBase[ProvisionType],0)</f>
        <v>Error: 48</v>
      </c>
      <c r="X3" s="3" t="s">
        <v>256</v>
      </c>
      <c r="Y3" s="26" t="str">
        <f>"Error: " &amp; COUNTIF(LessorBase[ReportingType],"")</f>
        <v>Error: 0</v>
      </c>
      <c r="Z3" s="26" t="str">
        <f>"Error: " &amp; COUNTIF(LessorBase[ReportingCategory],"")+COUNTIF(LessorBase[ReportingCategory],0)</f>
        <v>Error: 48</v>
      </c>
      <c r="AA3" s="26" t="str">
        <f>"Error: " &amp; COUNTIF(LessorBase[Reporting
StartDate],"")</f>
        <v>Error: 48</v>
      </c>
      <c r="AB3" s="26" t="str">
        <f>"Error: " &amp; COUNTIF(LessorBase[Reporting
EndDate],"") + COUNTIF(LessorBase[Reporting
EndDate],0)</f>
        <v>Error: 48</v>
      </c>
      <c r="AC3" s="26" t="str">
        <f>"Error: " &amp; COUNTIF(LessorBase[Payment
Amount],"")+COUNTIF(LessorBase[Payment
Amount],0)</f>
        <v>Error: 48</v>
      </c>
      <c r="AD3" s="26" t="str">
        <f>"Error: " &amp; COUNTIF(LessorBase[Payment
Frequency],"")</f>
        <v>Error: 48</v>
      </c>
      <c r="AE3" s="26" t="str">
        <f>"Error: " &amp; COUNTIF(LessorBase[Payment
Timing],"")</f>
        <v>Error: 48</v>
      </c>
      <c r="AF3" s="26" t="str">
        <f>"Error: " &amp; COUNTIF(LessorBase[Annual
Rate],"")+COUNTIF(LessorBase[Annual
Rate],0)</f>
        <v>Error: 48</v>
      </c>
      <c r="AG3" s="26" t="str">
        <f>"Error: " &amp; COUNTIF(LessorBase[Payment
StartDate],"")</f>
        <v>Error: 48</v>
      </c>
      <c r="AH3" s="26" t="str">
        <f>"Error: " &amp; COUNTIF(LessorBase[Payment
EndDate],"") + COUNTIF(LessorBase[Payment
EndDate],0)</f>
        <v>Error: 48</v>
      </c>
      <c r="AI3" s="25" t="s">
        <v>322</v>
      </c>
      <c r="AJ3" s="25" t="s">
        <v>322</v>
      </c>
      <c r="AK3" s="25" t="s">
        <v>322</v>
      </c>
      <c r="AL3" s="25" t="s">
        <v>322</v>
      </c>
      <c r="AM3" s="26" t="str">
        <f>"Error: " &amp; COUNTIF(LessorBase[Total
Deferred Inflow],"")+COUNTIF(LessorBase[Total
Deferred Inflow],0)</f>
        <v>Error: 0</v>
      </c>
      <c r="AN3" s="26" t="str">
        <f>"Error: " &amp; COUNTIF(LessorBase[Deferred Inflow
AmortizationMethod],"")</f>
        <v>Error: 0</v>
      </c>
      <c r="AO3" s="25" t="s">
        <v>256</v>
      </c>
      <c r="AP3" s="25" t="s">
        <v>256</v>
      </c>
      <c r="AQ3" s="25" t="s">
        <v>256</v>
      </c>
      <c r="AR3" s="28" t="s">
        <v>373</v>
      </c>
      <c r="AS3" s="29"/>
      <c r="AT3" s="29"/>
      <c r="AU3" s="29"/>
      <c r="AV3" s="29"/>
      <c r="AW3" s="30"/>
    </row>
    <row r="4" spans="1:49" x14ac:dyDescent="0.25">
      <c r="C4" s="88" t="s">
        <v>564</v>
      </c>
      <c r="F4" s="94" t="s">
        <v>564</v>
      </c>
      <c r="L4"/>
      <c r="M4"/>
      <c r="N4"/>
      <c r="O4"/>
      <c r="P4"/>
      <c r="Q4"/>
      <c r="R4" s="94" t="s">
        <v>567</v>
      </c>
      <c r="S4"/>
      <c r="V4" s="94" t="s">
        <v>569</v>
      </c>
      <c r="AA4"/>
      <c r="AB4"/>
      <c r="AC4"/>
      <c r="AF4"/>
      <c r="AG4"/>
      <c r="AH4"/>
      <c r="AI4"/>
      <c r="AJ4"/>
      <c r="AK4"/>
      <c r="AL4"/>
      <c r="AM4"/>
      <c r="AP4"/>
    </row>
    <row r="5" spans="1:49" ht="30" x14ac:dyDescent="0.25">
      <c r="A5" t="s">
        <v>449</v>
      </c>
      <c r="B5" t="s">
        <v>450</v>
      </c>
      <c r="C5" s="14" t="s">
        <v>565</v>
      </c>
      <c r="D5" s="14" t="s">
        <v>491</v>
      </c>
      <c r="E5" s="14" t="s">
        <v>300</v>
      </c>
      <c r="F5" t="s">
        <v>0</v>
      </c>
      <c r="G5" s="14" t="s">
        <v>296</v>
      </c>
      <c r="H5" t="s">
        <v>299</v>
      </c>
      <c r="I5" t="s">
        <v>297</v>
      </c>
      <c r="J5" t="s">
        <v>298</v>
      </c>
      <c r="K5" t="s">
        <v>1</v>
      </c>
      <c r="L5" s="18" t="s">
        <v>367</v>
      </c>
      <c r="M5" s="18" t="s">
        <v>368</v>
      </c>
      <c r="N5" s="18" t="s">
        <v>369</v>
      </c>
      <c r="O5" s="18" t="s">
        <v>370</v>
      </c>
      <c r="P5" s="18" t="s">
        <v>371</v>
      </c>
      <c r="Q5" s="18" t="s">
        <v>372</v>
      </c>
      <c r="R5" t="s">
        <v>2</v>
      </c>
      <c r="S5" s="14" t="s">
        <v>307</v>
      </c>
      <c r="T5" s="14" t="s">
        <v>568</v>
      </c>
      <c r="U5" s="12" t="s">
        <v>302</v>
      </c>
      <c r="V5" t="s">
        <v>493</v>
      </c>
      <c r="W5" t="s">
        <v>301</v>
      </c>
      <c r="X5" t="s">
        <v>5</v>
      </c>
      <c r="Y5" s="12" t="s">
        <v>6</v>
      </c>
      <c r="Z5" s="12" t="s">
        <v>7</v>
      </c>
      <c r="AA5" s="18" t="s">
        <v>304</v>
      </c>
      <c r="AB5" s="18" t="s">
        <v>305</v>
      </c>
      <c r="AC5" s="22" t="s">
        <v>315</v>
      </c>
      <c r="AD5" s="14" t="s">
        <v>314</v>
      </c>
      <c r="AE5" s="14" t="s">
        <v>313</v>
      </c>
      <c r="AF5" s="21" t="s">
        <v>306</v>
      </c>
      <c r="AG5" s="18" t="s">
        <v>521</v>
      </c>
      <c r="AH5" s="18" t="s">
        <v>522</v>
      </c>
      <c r="AI5" s="23" t="s">
        <v>309</v>
      </c>
      <c r="AJ5" s="24" t="s">
        <v>310</v>
      </c>
      <c r="AK5" s="24" t="s">
        <v>312</v>
      </c>
      <c r="AL5" s="24" t="s">
        <v>311</v>
      </c>
      <c r="AM5" s="22" t="s">
        <v>453</v>
      </c>
      <c r="AN5" s="14" t="s">
        <v>454</v>
      </c>
      <c r="AO5" s="14" t="s">
        <v>323</v>
      </c>
      <c r="AP5" s="14" t="s">
        <v>324</v>
      </c>
      <c r="AQ5" s="14" t="s">
        <v>325</v>
      </c>
      <c r="AR5" s="27" t="s">
        <v>457</v>
      </c>
      <c r="AS5" s="27" t="s">
        <v>458</v>
      </c>
      <c r="AT5" s="27" t="s">
        <v>459</v>
      </c>
      <c r="AU5" s="27" t="s">
        <v>460</v>
      </c>
      <c r="AV5" s="27" t="s">
        <v>461</v>
      </c>
      <c r="AW5" s="27" t="s">
        <v>462</v>
      </c>
    </row>
    <row r="6" spans="1:49" x14ac:dyDescent="0.25">
      <c r="A6" s="87" t="s">
        <v>452</v>
      </c>
      <c r="B6" s="87">
        <f>'Agency Cover'!$B$3</f>
        <v>0</v>
      </c>
      <c r="C6" s="87"/>
      <c r="D6" s="87" t="s">
        <v>290</v>
      </c>
      <c r="E6" s="87">
        <f>COUNTIF(LessorBase[AgreementCode],LessorBase[[#This Row],[AgreementCode]])</f>
        <v>0</v>
      </c>
      <c r="F6" s="87"/>
      <c r="G6" s="87">
        <f>COUNTIF(LessorBase[AgreementTitle],LessorBase[[#This Row],[AgreementTitle]])</f>
        <v>0</v>
      </c>
      <c r="H6" s="87"/>
      <c r="I6" s="87"/>
      <c r="J6" s="87"/>
      <c r="K6" s="87"/>
      <c r="L6" s="126"/>
      <c r="M6" s="126"/>
      <c r="N6" s="126"/>
      <c r="O6" s="126"/>
      <c r="P6" s="126"/>
      <c r="Q6" s="126"/>
      <c r="R6" s="87"/>
      <c r="S6" s="127">
        <f>LEN(LessorBase[[#This Row],[Comments]])</f>
        <v>0</v>
      </c>
      <c r="T6" s="127" t="str">
        <f>LessorBase[[#This Row],[Multi-
Record]]</f>
        <v>None</v>
      </c>
      <c r="U6" s="87">
        <f>LessorBase[[#This Row],[AgreementCode]]</f>
        <v>0</v>
      </c>
      <c r="V6" s="87" t="str">
        <f>LEFT(LessorBase[[#This Row],[AgreementTitle]],50)</f>
        <v/>
      </c>
      <c r="W6" s="87">
        <f>LessorBase[[#This Row],[AgreementType]]</f>
        <v>0</v>
      </c>
      <c r="X6" s="87"/>
      <c r="Y6" s="87" t="str">
        <f>IF(LessorBase[[#This Row],[Incl. Options
End Date]] = 0, IF(ROUND(ROUND((LessorBase[[#This Row],[Initial Period
End Date]]-LessorBase[[#This Row],[Initial Period
Start Date]])/365,2)*12,0)&lt;=12,"None","Transactional"), IF(ROUND(ROUND((LessorBase[[#This Row],[Incl. Options
End Date]]-LessorBase[[#This Row],[Initial Period
Start Date]])/365,2)*12,0)&lt;=12,"None","Transactional"))</f>
        <v>None</v>
      </c>
      <c r="Z6" s="128">
        <f>LessorBase[[#This Row],[ProvisionType]]</f>
        <v>0</v>
      </c>
      <c r="AA6" s="126"/>
      <c r="AB6" s="126">
        <f>IF(LessorBase[[#This Row],[Incl. Options
End Date]]&gt;0,LessorBase[[#This Row],[Incl. Options
End Date]],LessorBase[[#This Row],[Initial Period
End Date]])</f>
        <v>0</v>
      </c>
      <c r="AC6" s="129"/>
      <c r="AD6" s="87"/>
      <c r="AE6" s="87"/>
      <c r="AF6" s="130"/>
      <c r="AG6" s="126"/>
      <c r="AH6" s="126">
        <f>IF(LessorBase[[#This Row],[Incl. Options
End Date]]&gt;0,LessorBase[[#This Row],[Incl. Options
End Date]],LessorBase[[#This Row],[Initial Period
End Date]])</f>
        <v>0</v>
      </c>
      <c r="AI6" s="128" t="e" cm="1">
        <f t="array" ref="AI6">ROUND(ROUND((LessorBase[[#This Row],[Payment
EndDate]]-LessorBase[[#This Row],[Payment
StartDate]])/365,2)*_xlfn.IFS(LessorBase[[#This Row],[Payment
Frequency]]="MO",12,LessorBase[[#This Row],[Payment
Frequency]]="QT",4,LessorBase[[#This Row],[Payment
Frequency]]="SA",2,LessorBase[[#This Row],[Payment
Frequency]]="AN",1),0)</f>
        <v>#N/A</v>
      </c>
      <c r="AJ6" s="129" t="e">
        <f>ROUND(LessorBase[[#This Row],[Payment
Amount]]*LessorBase[[#This Row],[Number of
 Payments]],2)</f>
        <v>#N/A</v>
      </c>
      <c r="AK6" s="129" t="e">
        <f>IF(LessorBase[[#This Row],[Multi-
Record2]]="Multi-Amount", "calc on import", ROUND(PV(LessorBase[[#This Row],[Annual
Rate]]/IF(LessorBase[[#This Row],[Payment
Frequency]] = "MO",12,IF(LessorBase[[#This Row],[Payment
Frequency]] = "QT",4,IF(LessorBase[[#This Row],[Payment
Frequency]] = "SA",2,IF(LessorBase[[#This Row],[Payment
Frequency]] = "AN",1,0)))),LessorBase[[#This Row],[Number of
 Payments]],LessorBase[[#This Row],[Payment
Amount]],,IF(LessorBase[[#This Row],[Payment
Timing]]="Advance",1,IF(LessorBase[[#This Row],[Payment
Timing]]="Arrears",0,"x")))*-1,2))</f>
        <v>#DIV/0!</v>
      </c>
      <c r="AL6" s="129" t="e">
        <f>IF(LessorBase[[#This Row],[Multi-
Record2]]="Multi-Amount", "calc on import",LessorBase[[#This Row],[Total Amount
of Payments]]-LessorBase[[#This Row],[Present
Value]])</f>
        <v>#N/A</v>
      </c>
      <c r="AM6" s="129" t="e">
        <f>IF(LessorBase[[#This Row],[Multi-
Record2]]="Multi-Amount", "calc on import", LessorBase[[#This Row],[Present
Value]])</f>
        <v>#DIV/0!</v>
      </c>
      <c r="AN6" s="87" t="s">
        <v>295</v>
      </c>
      <c r="AO6" s="87"/>
      <c r="AP6" s="127"/>
      <c r="AQ6" s="87"/>
      <c r="AR6" s="87"/>
      <c r="AS6" s="87"/>
      <c r="AT6" s="87"/>
      <c r="AU6" s="87"/>
      <c r="AV6" s="87"/>
      <c r="AW6" s="87"/>
    </row>
    <row r="7" spans="1:49" x14ac:dyDescent="0.25">
      <c r="A7" s="87" t="s">
        <v>452</v>
      </c>
      <c r="B7" s="87">
        <f>'Agency Cover'!$B$3</f>
        <v>0</v>
      </c>
      <c r="C7" s="87"/>
      <c r="D7" s="87" t="s">
        <v>290</v>
      </c>
      <c r="E7" s="128">
        <f>COUNTIF(LessorBase[AgreementCode],LessorBase[[#This Row],[AgreementCode]])</f>
        <v>0</v>
      </c>
      <c r="F7" s="87"/>
      <c r="G7" s="87">
        <f>COUNTIF(LessorBase[AgreementTitle],LessorBase[[#This Row],[AgreementTitle]])</f>
        <v>0</v>
      </c>
      <c r="H7" s="87"/>
      <c r="I7" s="87"/>
      <c r="J7" s="87"/>
      <c r="K7" s="87"/>
      <c r="L7" s="126"/>
      <c r="M7" s="126"/>
      <c r="N7" s="126"/>
      <c r="O7" s="126"/>
      <c r="P7" s="126"/>
      <c r="Q7" s="126"/>
      <c r="R7" s="87"/>
      <c r="S7" s="127">
        <f>LEN(LessorBase[[#This Row],[Comments]])</f>
        <v>0</v>
      </c>
      <c r="T7" s="127" t="str">
        <f>LessorBase[[#This Row],[Multi-
Record]]</f>
        <v>None</v>
      </c>
      <c r="U7" s="87">
        <f>LessorBase[[#This Row],[AgreementCode]]</f>
        <v>0</v>
      </c>
      <c r="V7" s="87" t="str">
        <f>LEFT(LessorBase[[#This Row],[AgreementTitle]],50)</f>
        <v/>
      </c>
      <c r="W7" s="87">
        <f>LessorBase[[#This Row],[AgreementType]]</f>
        <v>0</v>
      </c>
      <c r="X7" s="87"/>
      <c r="Y7" s="87" t="str">
        <f>IF(LessorBase[[#This Row],[Incl. Options
End Date]] = 0, IF(ROUND(ROUND((LessorBase[[#This Row],[Initial Period
End Date]]-LessorBase[[#This Row],[Initial Period
Start Date]])/365,2)*12,0)&lt;=12,"None","Transactional"), IF(ROUND(ROUND((LessorBase[[#This Row],[Incl. Options
End Date]]-LessorBase[[#This Row],[Initial Period
Start Date]])/365,2)*12,0)&lt;=12,"None","Transactional"))</f>
        <v>None</v>
      </c>
      <c r="Z7" s="128">
        <f>LessorBase[[#This Row],[ProvisionType]]</f>
        <v>0</v>
      </c>
      <c r="AA7" s="126"/>
      <c r="AB7" s="126">
        <f>IF(LessorBase[[#This Row],[Incl. Options
End Date]]&gt;0,LessorBase[[#This Row],[Incl. Options
End Date]],LessorBase[[#This Row],[Initial Period
End Date]])</f>
        <v>0</v>
      </c>
      <c r="AC7" s="129"/>
      <c r="AD7" s="87"/>
      <c r="AE7" s="87"/>
      <c r="AF7" s="130"/>
      <c r="AG7" s="126"/>
      <c r="AH7" s="126">
        <f>IF(LessorBase[[#This Row],[Incl. Options
End Date]]&gt;0,LessorBase[[#This Row],[Incl. Options
End Date]],LessorBase[[#This Row],[Initial Period
End Date]])</f>
        <v>0</v>
      </c>
      <c r="AI7" s="128" t="e" cm="1">
        <f t="array" ref="AI7">ROUND(ROUND((LessorBase[[#This Row],[Payment
EndDate]]-LessorBase[[#This Row],[Payment
StartDate]])/365,2)*_xlfn.IFS(LessorBase[[#This Row],[Payment
Frequency]]="MO",12,LessorBase[[#This Row],[Payment
Frequency]]="QT",4,LessorBase[[#This Row],[Payment
Frequency]]="SA",2,LessorBase[[#This Row],[Payment
Frequency]]="AN",1),0)</f>
        <v>#N/A</v>
      </c>
      <c r="AJ7" s="129" t="e">
        <f>ROUND(LessorBase[[#This Row],[Payment
Amount]]*LessorBase[[#This Row],[Number of
 Payments]],2)</f>
        <v>#N/A</v>
      </c>
      <c r="AK7" s="129" t="e">
        <f>IF(LessorBase[[#This Row],[Multi-
Record2]]="Multi-Amount", "calc on import", ROUND(PV(LessorBase[[#This Row],[Annual
Rate]]/IF(LessorBase[[#This Row],[Payment
Frequency]] = "MO",12,IF(LessorBase[[#This Row],[Payment
Frequency]] = "QT",4,IF(LessorBase[[#This Row],[Payment
Frequency]] = "SA",2,IF(LessorBase[[#This Row],[Payment
Frequency]] = "AN",1,0)))),LessorBase[[#This Row],[Number of
 Payments]],LessorBase[[#This Row],[Payment
Amount]],,IF(LessorBase[[#This Row],[Payment
Timing]]="Advance",1,IF(LessorBase[[#This Row],[Payment
Timing]]="Arrears",0,"x")))*-1,2))</f>
        <v>#DIV/0!</v>
      </c>
      <c r="AL7" s="129" t="e">
        <f>IF(LessorBase[[#This Row],[Multi-
Record2]]="Multi-Amount", "calc on import",LessorBase[[#This Row],[Total Amount
of Payments]]-LessorBase[[#This Row],[Present
Value]])</f>
        <v>#N/A</v>
      </c>
      <c r="AM7" s="129" t="e">
        <f>IF(LessorBase[[#This Row],[Multi-
Record2]]="Multi-Amount", "calc on import", LessorBase[[#This Row],[Present
Value]])</f>
        <v>#DIV/0!</v>
      </c>
      <c r="AN7" s="87" t="s">
        <v>295</v>
      </c>
      <c r="AO7" s="87"/>
      <c r="AP7" s="127"/>
      <c r="AQ7" s="87"/>
      <c r="AR7" s="87"/>
      <c r="AS7" s="87"/>
      <c r="AT7" s="87"/>
      <c r="AU7" s="87"/>
      <c r="AV7" s="87"/>
      <c r="AW7" s="87"/>
    </row>
    <row r="8" spans="1:49" x14ac:dyDescent="0.25">
      <c r="A8" s="87" t="s">
        <v>452</v>
      </c>
      <c r="B8" s="87">
        <f>'Agency Cover'!$B$3</f>
        <v>0</v>
      </c>
      <c r="C8" s="87"/>
      <c r="D8" s="87" t="s">
        <v>290</v>
      </c>
      <c r="E8" s="128">
        <f>COUNTIF(LessorBase[AgreementCode],LessorBase[[#This Row],[AgreementCode]])</f>
        <v>0</v>
      </c>
      <c r="F8" s="87"/>
      <c r="G8" s="128">
        <f>COUNTIF(LessorBase[AgreementTitle],LessorBase[[#This Row],[AgreementTitle]])</f>
        <v>0</v>
      </c>
      <c r="H8" s="87"/>
      <c r="I8" s="87"/>
      <c r="J8" s="87"/>
      <c r="K8" s="87"/>
      <c r="L8" s="126"/>
      <c r="M8" s="126"/>
      <c r="N8" s="126"/>
      <c r="O8" s="126"/>
      <c r="P8" s="126"/>
      <c r="Q8" s="126"/>
      <c r="R8" s="87"/>
      <c r="S8" s="127">
        <f>LEN(LessorBase[[#This Row],[Comments]])</f>
        <v>0</v>
      </c>
      <c r="T8" s="127" t="str">
        <f>LessorBase[[#This Row],[Multi-
Record]]</f>
        <v>None</v>
      </c>
      <c r="U8" s="87">
        <f>LessorBase[[#This Row],[AgreementCode]]</f>
        <v>0</v>
      </c>
      <c r="V8" s="87" t="str">
        <f>LEFT(LessorBase[[#This Row],[AgreementTitle]],50)</f>
        <v/>
      </c>
      <c r="W8" s="87">
        <f>LessorBase[[#This Row],[AgreementType]]</f>
        <v>0</v>
      </c>
      <c r="X8" s="87"/>
      <c r="Y8" s="87" t="str">
        <f>IF(LessorBase[[#This Row],[Incl. Options
End Date]] = 0, IF(ROUND(ROUND((LessorBase[[#This Row],[Initial Period
End Date]]-LessorBase[[#This Row],[Initial Period
Start Date]])/365,2)*12,0)&lt;=12,"None","Transactional"), IF(ROUND(ROUND((LessorBase[[#This Row],[Incl. Options
End Date]]-LessorBase[[#This Row],[Initial Period
Start Date]])/365,2)*12,0)&lt;=12,"None","Transactional"))</f>
        <v>None</v>
      </c>
      <c r="Z8" s="128">
        <f>LessorBase[[#This Row],[ProvisionType]]</f>
        <v>0</v>
      </c>
      <c r="AA8" s="126"/>
      <c r="AB8" s="126">
        <f>IF(LessorBase[[#This Row],[Incl. Options
End Date]]&gt;0,LessorBase[[#This Row],[Incl. Options
End Date]],LessorBase[[#This Row],[Initial Period
End Date]])</f>
        <v>0</v>
      </c>
      <c r="AC8" s="129"/>
      <c r="AD8" s="87"/>
      <c r="AE8" s="87"/>
      <c r="AF8" s="130"/>
      <c r="AG8" s="126"/>
      <c r="AH8" s="126">
        <f>IF(LessorBase[[#This Row],[Incl. Options
End Date]]&gt;0,LessorBase[[#This Row],[Incl. Options
End Date]],LessorBase[[#This Row],[Initial Period
End Date]])</f>
        <v>0</v>
      </c>
      <c r="AI8" s="128" t="e" cm="1">
        <f t="array" ref="AI8">ROUND(ROUND((LessorBase[[#This Row],[Payment
EndDate]]-LessorBase[[#This Row],[Payment
StartDate]])/365,2)*_xlfn.IFS(LessorBase[[#This Row],[Payment
Frequency]]="MO",12,LessorBase[[#This Row],[Payment
Frequency]]="QT",4,LessorBase[[#This Row],[Payment
Frequency]]="SA",2,LessorBase[[#This Row],[Payment
Frequency]]="AN",1),0)</f>
        <v>#N/A</v>
      </c>
      <c r="AJ8" s="129" t="e">
        <f>ROUND(LessorBase[[#This Row],[Payment
Amount]]*LessorBase[[#This Row],[Number of
 Payments]],2)</f>
        <v>#N/A</v>
      </c>
      <c r="AK8" s="129" t="e">
        <f>IF(LessorBase[[#This Row],[Multi-
Record2]]="Multi-Amount", "calc on import", ROUND(PV(LessorBase[[#This Row],[Annual
Rate]]/IF(LessorBase[[#This Row],[Payment
Frequency]] = "MO",12,IF(LessorBase[[#This Row],[Payment
Frequency]] = "QT",4,IF(LessorBase[[#This Row],[Payment
Frequency]] = "SA",2,IF(LessorBase[[#This Row],[Payment
Frequency]] = "AN",1,0)))),LessorBase[[#This Row],[Number of
 Payments]],LessorBase[[#This Row],[Payment
Amount]],,IF(LessorBase[[#This Row],[Payment
Timing]]="Advance",1,IF(LessorBase[[#This Row],[Payment
Timing]]="Arrears",0,"x")))*-1,2))</f>
        <v>#DIV/0!</v>
      </c>
      <c r="AL8" s="129" t="e">
        <f>IF(LessorBase[[#This Row],[Multi-
Record2]]="Multi-Amount", "calc on import",LessorBase[[#This Row],[Total Amount
of Payments]]-LessorBase[[#This Row],[Present
Value]])</f>
        <v>#N/A</v>
      </c>
      <c r="AM8" s="129" t="e">
        <f>IF(LessorBase[[#This Row],[Multi-
Record2]]="Multi-Amount", "calc on import", LessorBase[[#This Row],[Present
Value]])</f>
        <v>#DIV/0!</v>
      </c>
      <c r="AN8" s="87" t="s">
        <v>295</v>
      </c>
      <c r="AO8" s="87"/>
      <c r="AP8" s="127"/>
      <c r="AQ8" s="87"/>
      <c r="AR8" s="87"/>
      <c r="AS8" s="87"/>
      <c r="AT8" s="87"/>
      <c r="AU8" s="87"/>
      <c r="AV8" s="87"/>
      <c r="AW8" s="87"/>
    </row>
    <row r="9" spans="1:49" x14ac:dyDescent="0.25">
      <c r="A9" s="87" t="s">
        <v>452</v>
      </c>
      <c r="B9" s="87">
        <f>'Agency Cover'!$B$3</f>
        <v>0</v>
      </c>
      <c r="C9" s="87"/>
      <c r="D9" s="87" t="s">
        <v>290</v>
      </c>
      <c r="E9" s="128">
        <f>COUNTIF(LessorBase[AgreementCode],LessorBase[[#This Row],[AgreementCode]])</f>
        <v>0</v>
      </c>
      <c r="F9" s="87"/>
      <c r="G9" s="128">
        <f>COUNTIF(LessorBase[AgreementTitle],LessorBase[[#This Row],[AgreementTitle]])</f>
        <v>0</v>
      </c>
      <c r="H9" s="87"/>
      <c r="I9" s="87"/>
      <c r="J9" s="87"/>
      <c r="K9" s="87"/>
      <c r="L9" s="126"/>
      <c r="M9" s="126"/>
      <c r="N9" s="126"/>
      <c r="O9" s="126"/>
      <c r="P9" s="126"/>
      <c r="Q9" s="126"/>
      <c r="R9" s="87"/>
      <c r="S9" s="127">
        <f>LEN(LessorBase[[#This Row],[Comments]])</f>
        <v>0</v>
      </c>
      <c r="T9" s="127" t="str">
        <f>LessorBase[[#This Row],[Multi-
Record]]</f>
        <v>None</v>
      </c>
      <c r="U9" s="87">
        <f>LessorBase[[#This Row],[AgreementCode]]</f>
        <v>0</v>
      </c>
      <c r="V9" s="87" t="str">
        <f>LEFT(LessorBase[[#This Row],[AgreementTitle]],50)</f>
        <v/>
      </c>
      <c r="W9" s="87">
        <f>LessorBase[[#This Row],[AgreementType]]</f>
        <v>0</v>
      </c>
      <c r="X9" s="87"/>
      <c r="Y9" s="87" t="str">
        <f>IF(LessorBase[[#This Row],[Incl. Options
End Date]] = 0, IF(ROUND(ROUND((LessorBase[[#This Row],[Initial Period
End Date]]-LessorBase[[#This Row],[Initial Period
Start Date]])/365,2)*12,0)&lt;=12,"None","Transactional"), IF(ROUND(ROUND((LessorBase[[#This Row],[Incl. Options
End Date]]-LessorBase[[#This Row],[Initial Period
Start Date]])/365,2)*12,0)&lt;=12,"None","Transactional"))</f>
        <v>None</v>
      </c>
      <c r="Z9" s="128">
        <f>LessorBase[[#This Row],[ProvisionType]]</f>
        <v>0</v>
      </c>
      <c r="AA9" s="126"/>
      <c r="AB9" s="126">
        <f>IF(LessorBase[[#This Row],[Incl. Options
End Date]]&gt;0,LessorBase[[#This Row],[Incl. Options
End Date]],LessorBase[[#This Row],[Initial Period
End Date]])</f>
        <v>0</v>
      </c>
      <c r="AC9" s="129"/>
      <c r="AD9" s="87"/>
      <c r="AE9" s="87"/>
      <c r="AF9" s="130"/>
      <c r="AG9" s="126"/>
      <c r="AH9" s="126">
        <f>IF(LessorBase[[#This Row],[Incl. Options
End Date]]&gt;0,LessorBase[[#This Row],[Incl. Options
End Date]],LessorBase[[#This Row],[Initial Period
End Date]])</f>
        <v>0</v>
      </c>
      <c r="AI9" s="128" t="e" cm="1">
        <f t="array" ref="AI9">ROUND(ROUND((LessorBase[[#This Row],[Payment
EndDate]]-LessorBase[[#This Row],[Payment
StartDate]])/365,2)*_xlfn.IFS(LessorBase[[#This Row],[Payment
Frequency]]="MO",12,LessorBase[[#This Row],[Payment
Frequency]]="QT",4,LessorBase[[#This Row],[Payment
Frequency]]="SA",2,LessorBase[[#This Row],[Payment
Frequency]]="AN",1),0)</f>
        <v>#N/A</v>
      </c>
      <c r="AJ9" s="129" t="e">
        <f>ROUND(LessorBase[[#This Row],[Payment
Amount]]*LessorBase[[#This Row],[Number of
 Payments]],2)</f>
        <v>#N/A</v>
      </c>
      <c r="AK9" s="129" t="e">
        <f>IF(LessorBase[[#This Row],[Multi-
Record2]]="Multi-Amount", "calc on import", ROUND(PV(LessorBase[[#This Row],[Annual
Rate]]/IF(LessorBase[[#This Row],[Payment
Frequency]] = "MO",12,IF(LessorBase[[#This Row],[Payment
Frequency]] = "QT",4,IF(LessorBase[[#This Row],[Payment
Frequency]] = "SA",2,IF(LessorBase[[#This Row],[Payment
Frequency]] = "AN",1,0)))),LessorBase[[#This Row],[Number of
 Payments]],LessorBase[[#This Row],[Payment
Amount]],,IF(LessorBase[[#This Row],[Payment
Timing]]="Advance",1,IF(LessorBase[[#This Row],[Payment
Timing]]="Arrears",0,"x")))*-1,2))</f>
        <v>#DIV/0!</v>
      </c>
      <c r="AL9" s="129" t="e">
        <f>IF(LessorBase[[#This Row],[Multi-
Record2]]="Multi-Amount", "calc on import",LessorBase[[#This Row],[Total Amount
of Payments]]-LessorBase[[#This Row],[Present
Value]])</f>
        <v>#N/A</v>
      </c>
      <c r="AM9" s="129" t="e">
        <f>IF(LessorBase[[#This Row],[Multi-
Record2]]="Multi-Amount", "calc on import", LessorBase[[#This Row],[Present
Value]])</f>
        <v>#DIV/0!</v>
      </c>
      <c r="AN9" s="87" t="s">
        <v>295</v>
      </c>
      <c r="AO9" s="87"/>
      <c r="AP9" s="127"/>
      <c r="AQ9" s="87"/>
      <c r="AR9" s="87"/>
      <c r="AS9" s="87"/>
      <c r="AT9" s="87"/>
      <c r="AU9" s="87"/>
      <c r="AV9" s="87"/>
      <c r="AW9" s="87"/>
    </row>
    <row r="10" spans="1:49" x14ac:dyDescent="0.25">
      <c r="A10" s="87" t="s">
        <v>452</v>
      </c>
      <c r="B10" s="87">
        <f>'Agency Cover'!$B$3</f>
        <v>0</v>
      </c>
      <c r="C10" s="87"/>
      <c r="D10" s="87" t="s">
        <v>290</v>
      </c>
      <c r="E10" s="128">
        <f>COUNTIF(LessorBase[AgreementCode],LessorBase[[#This Row],[AgreementCode]])</f>
        <v>0</v>
      </c>
      <c r="F10" s="87"/>
      <c r="G10" s="128">
        <f>COUNTIF(LessorBase[AgreementTitle],LessorBase[[#This Row],[AgreementTitle]])</f>
        <v>0</v>
      </c>
      <c r="H10" s="87"/>
      <c r="I10" s="87"/>
      <c r="J10" s="87"/>
      <c r="K10" s="87"/>
      <c r="L10" s="126"/>
      <c r="M10" s="126"/>
      <c r="N10" s="126"/>
      <c r="O10" s="126"/>
      <c r="P10" s="126"/>
      <c r="Q10" s="126"/>
      <c r="R10" s="87"/>
      <c r="S10" s="127">
        <f>LEN(LessorBase[[#This Row],[Comments]])</f>
        <v>0</v>
      </c>
      <c r="T10" s="127" t="str">
        <f>LessorBase[[#This Row],[Multi-
Record]]</f>
        <v>None</v>
      </c>
      <c r="U10" s="87">
        <f>LessorBase[[#This Row],[AgreementCode]]</f>
        <v>0</v>
      </c>
      <c r="V10" s="87" t="str">
        <f>LEFT(LessorBase[[#This Row],[AgreementTitle]],50)</f>
        <v/>
      </c>
      <c r="W10" s="128">
        <f>LessorBase[[#This Row],[AgreementType]]</f>
        <v>0</v>
      </c>
      <c r="X10" s="87"/>
      <c r="Y10" s="87" t="str">
        <f>IF(LessorBase[[#This Row],[Incl. Options
End Date]] = 0, IF(ROUND(ROUND((LessorBase[[#This Row],[Initial Period
End Date]]-LessorBase[[#This Row],[Initial Period
Start Date]])/365,2)*12,0)&lt;=12,"None","Transactional"), IF(ROUND(ROUND((LessorBase[[#This Row],[Incl. Options
End Date]]-LessorBase[[#This Row],[Initial Period
Start Date]])/365,2)*12,0)&lt;=12,"None","Transactional"))</f>
        <v>None</v>
      </c>
      <c r="Z10" s="128">
        <f>LessorBase[[#This Row],[ProvisionType]]</f>
        <v>0</v>
      </c>
      <c r="AA10" s="126"/>
      <c r="AB10" s="126">
        <f>IF(LessorBase[[#This Row],[Incl. Options
End Date]]&gt;0,LessorBase[[#This Row],[Incl. Options
End Date]],LessorBase[[#This Row],[Initial Period
End Date]])</f>
        <v>0</v>
      </c>
      <c r="AC10" s="129"/>
      <c r="AD10" s="87"/>
      <c r="AE10" s="87"/>
      <c r="AF10" s="130"/>
      <c r="AG10" s="126"/>
      <c r="AH10" s="126">
        <f>IF(LessorBase[[#This Row],[Incl. Options
End Date]]&gt;0,LessorBase[[#This Row],[Incl. Options
End Date]],LessorBase[[#This Row],[Initial Period
End Date]])</f>
        <v>0</v>
      </c>
      <c r="AI10" s="128" t="e" cm="1">
        <f t="array" ref="AI10">ROUND(ROUND((LessorBase[[#This Row],[Payment
EndDate]]-LessorBase[[#This Row],[Payment
StartDate]])/365,2)*_xlfn.IFS(LessorBase[[#This Row],[Payment
Frequency]]="MO",12,LessorBase[[#This Row],[Payment
Frequency]]="QT",4,LessorBase[[#This Row],[Payment
Frequency]]="SA",2,LessorBase[[#This Row],[Payment
Frequency]]="AN",1),0)</f>
        <v>#N/A</v>
      </c>
      <c r="AJ10" s="129" t="e">
        <f>ROUND(LessorBase[[#This Row],[Payment
Amount]]*LessorBase[[#This Row],[Number of
 Payments]],2)</f>
        <v>#N/A</v>
      </c>
      <c r="AK10" s="129" t="e">
        <f>IF(LessorBase[[#This Row],[Multi-
Record2]]="Multi-Amount", "calc on import", ROUND(PV(LessorBase[[#This Row],[Annual
Rate]]/IF(LessorBase[[#This Row],[Payment
Frequency]] = "MO",12,IF(LessorBase[[#This Row],[Payment
Frequency]] = "QT",4,IF(LessorBase[[#This Row],[Payment
Frequency]] = "SA",2,IF(LessorBase[[#This Row],[Payment
Frequency]] = "AN",1,0)))),LessorBase[[#This Row],[Number of
 Payments]],LessorBase[[#This Row],[Payment
Amount]],,IF(LessorBase[[#This Row],[Payment
Timing]]="Advance",1,IF(LessorBase[[#This Row],[Payment
Timing]]="Arrears",0,"x")))*-1,2))</f>
        <v>#DIV/0!</v>
      </c>
      <c r="AL10" s="129" t="e">
        <f>IF(LessorBase[[#This Row],[Multi-
Record2]]="Multi-Amount", "calc on import",LessorBase[[#This Row],[Total Amount
of Payments]]-LessorBase[[#This Row],[Present
Value]])</f>
        <v>#N/A</v>
      </c>
      <c r="AM10" s="129" t="e">
        <f>IF(LessorBase[[#This Row],[Multi-
Record2]]="Multi-Amount", "calc on import", LessorBase[[#This Row],[Present
Value]])</f>
        <v>#DIV/0!</v>
      </c>
      <c r="AN10" s="87" t="s">
        <v>295</v>
      </c>
      <c r="AO10" s="87"/>
      <c r="AP10" s="127"/>
      <c r="AQ10" s="87"/>
      <c r="AR10" s="87"/>
      <c r="AS10" s="87"/>
      <c r="AT10" s="87"/>
      <c r="AU10" s="87"/>
      <c r="AV10" s="87"/>
      <c r="AW10" s="87"/>
    </row>
    <row r="11" spans="1:49" x14ac:dyDescent="0.25">
      <c r="A11" s="87" t="s">
        <v>452</v>
      </c>
      <c r="B11" s="87">
        <f>'Agency Cover'!$B$3</f>
        <v>0</v>
      </c>
      <c r="C11" s="87"/>
      <c r="D11" s="87" t="s">
        <v>290</v>
      </c>
      <c r="E11" s="128">
        <f>COUNTIF(LessorBase[AgreementCode],LessorBase[[#This Row],[AgreementCode]])</f>
        <v>0</v>
      </c>
      <c r="F11" s="87"/>
      <c r="G11" s="128">
        <f>COUNTIF(LessorBase[AgreementTitle],LessorBase[[#This Row],[AgreementTitle]])</f>
        <v>0</v>
      </c>
      <c r="H11" s="87"/>
      <c r="I11" s="87"/>
      <c r="J11" s="87"/>
      <c r="K11" s="87"/>
      <c r="L11" s="126"/>
      <c r="M11" s="126"/>
      <c r="N11" s="126"/>
      <c r="O11" s="126"/>
      <c r="P11" s="126"/>
      <c r="Q11" s="126"/>
      <c r="R11" s="126"/>
      <c r="S11" s="131">
        <f>LEN(LessorBase[[#This Row],[Comments]])</f>
        <v>0</v>
      </c>
      <c r="T11" s="127" t="str">
        <f>LessorBase[[#This Row],[Multi-
Record]]</f>
        <v>None</v>
      </c>
      <c r="U11" s="87">
        <f>LessorBase[[#This Row],[AgreementCode]]</f>
        <v>0</v>
      </c>
      <c r="V11" s="87" t="str">
        <f>LEFT(LessorBase[[#This Row],[AgreementTitle]],50)</f>
        <v/>
      </c>
      <c r="W11" s="128">
        <f>LessorBase[[#This Row],[AgreementType]]</f>
        <v>0</v>
      </c>
      <c r="X11" s="87"/>
      <c r="Y11" s="87" t="str">
        <f>IF(LessorBase[[#This Row],[Incl. Options
End Date]] = 0, IF(ROUND(ROUND((LessorBase[[#This Row],[Initial Period
End Date]]-LessorBase[[#This Row],[Initial Period
Start Date]])/365,2)*12,0)&lt;=12,"None","Transactional"), IF(ROUND(ROUND((LessorBase[[#This Row],[Incl. Options
End Date]]-LessorBase[[#This Row],[Initial Period
Start Date]])/365,2)*12,0)&lt;=12,"None","Transactional"))</f>
        <v>None</v>
      </c>
      <c r="Z11" s="128">
        <f>LessorBase[[#This Row],[ProvisionType]]</f>
        <v>0</v>
      </c>
      <c r="AA11" s="126"/>
      <c r="AB11" s="126">
        <f>IF(LessorBase[[#This Row],[Incl. Options
End Date]]&gt;0,LessorBase[[#This Row],[Incl. Options
End Date]],LessorBase[[#This Row],[Initial Period
End Date]])</f>
        <v>0</v>
      </c>
      <c r="AC11" s="129"/>
      <c r="AD11" s="87"/>
      <c r="AE11" s="87"/>
      <c r="AF11" s="130"/>
      <c r="AG11" s="126"/>
      <c r="AH11" s="126">
        <f>IF(LessorBase[[#This Row],[Incl. Options
End Date]]&gt;0,LessorBase[[#This Row],[Incl. Options
End Date]],LessorBase[[#This Row],[Initial Period
End Date]])</f>
        <v>0</v>
      </c>
      <c r="AI11" s="128" t="e" cm="1">
        <f t="array" ref="AI11">ROUND(ROUND((LessorBase[[#This Row],[Payment
EndDate]]-LessorBase[[#This Row],[Payment
StartDate]])/365,2)*_xlfn.IFS(LessorBase[[#This Row],[Payment
Frequency]]="MO",12,LessorBase[[#This Row],[Payment
Frequency]]="QT",4,LessorBase[[#This Row],[Payment
Frequency]]="SA",2,LessorBase[[#This Row],[Payment
Frequency]]="AN",1),0)</f>
        <v>#N/A</v>
      </c>
      <c r="AJ11" s="129" t="e">
        <f>ROUND(LessorBase[[#This Row],[Payment
Amount]]*LessorBase[[#This Row],[Number of
 Payments]],2)</f>
        <v>#N/A</v>
      </c>
      <c r="AK11" s="129" t="e">
        <f>IF(LessorBase[[#This Row],[Multi-
Record2]]="Multi-Amount", "calc on import", ROUND(PV(LessorBase[[#This Row],[Annual
Rate]]/IF(LessorBase[[#This Row],[Payment
Frequency]] = "MO",12,IF(LessorBase[[#This Row],[Payment
Frequency]] = "QT",4,IF(LessorBase[[#This Row],[Payment
Frequency]] = "SA",2,IF(LessorBase[[#This Row],[Payment
Frequency]] = "AN",1,0)))),LessorBase[[#This Row],[Number of
 Payments]],LessorBase[[#This Row],[Payment
Amount]],,IF(LessorBase[[#This Row],[Payment
Timing]]="Advance",1,IF(LessorBase[[#This Row],[Payment
Timing]]="Arrears",0,"x")))*-1,2))</f>
        <v>#DIV/0!</v>
      </c>
      <c r="AL11" s="129" t="e">
        <f>IF(LessorBase[[#This Row],[Multi-
Record2]]="Multi-Amount", "calc on import",LessorBase[[#This Row],[Total Amount
of Payments]]-LessorBase[[#This Row],[Present
Value]])</f>
        <v>#N/A</v>
      </c>
      <c r="AM11" s="129" t="e">
        <f>IF(LessorBase[[#This Row],[Multi-
Record2]]="Multi-Amount", "calc on import", LessorBase[[#This Row],[Present
Value]])</f>
        <v>#DIV/0!</v>
      </c>
      <c r="AN11" s="87" t="s">
        <v>295</v>
      </c>
      <c r="AO11" s="87"/>
      <c r="AP11" s="127"/>
      <c r="AQ11" s="87"/>
      <c r="AR11" s="87"/>
      <c r="AS11" s="87"/>
      <c r="AT11" s="87"/>
      <c r="AU11" s="87"/>
      <c r="AV11" s="87"/>
      <c r="AW11" s="87"/>
    </row>
    <row r="12" spans="1:49" x14ac:dyDescent="0.25">
      <c r="A12" s="87" t="s">
        <v>452</v>
      </c>
      <c r="B12" s="87">
        <f>'Agency Cover'!$B$3</f>
        <v>0</v>
      </c>
      <c r="C12" s="87"/>
      <c r="D12" s="87" t="s">
        <v>290</v>
      </c>
      <c r="E12" s="128">
        <f>COUNTIF(LessorBase[AgreementCode],LessorBase[[#This Row],[AgreementCode]])</f>
        <v>0</v>
      </c>
      <c r="F12" s="87"/>
      <c r="G12" s="128">
        <f>COUNTIF(LessorBase[AgreementTitle],LessorBase[[#This Row],[AgreementTitle]])</f>
        <v>0</v>
      </c>
      <c r="H12" s="87"/>
      <c r="I12" s="87"/>
      <c r="J12" s="87"/>
      <c r="K12" s="87"/>
      <c r="L12" s="126"/>
      <c r="M12" s="126"/>
      <c r="N12" s="126"/>
      <c r="O12" s="126"/>
      <c r="P12" s="126"/>
      <c r="Q12" s="126"/>
      <c r="R12" s="126"/>
      <c r="S12" s="131">
        <f>LEN(LessorBase[[#This Row],[Comments]])</f>
        <v>0</v>
      </c>
      <c r="T12" s="127" t="str">
        <f>LessorBase[[#This Row],[Multi-
Record]]</f>
        <v>None</v>
      </c>
      <c r="U12" s="87">
        <f>LessorBase[[#This Row],[AgreementCode]]</f>
        <v>0</v>
      </c>
      <c r="V12" s="87" t="str">
        <f>LEFT(LessorBase[[#This Row],[AgreementTitle]],50)</f>
        <v/>
      </c>
      <c r="W12" s="128">
        <f>LessorBase[[#This Row],[AgreementType]]</f>
        <v>0</v>
      </c>
      <c r="X12" s="87"/>
      <c r="Y12" s="87" t="str">
        <f>IF(LessorBase[[#This Row],[Incl. Options
End Date]] = 0, IF(ROUND(ROUND((LessorBase[[#This Row],[Initial Period
End Date]]-LessorBase[[#This Row],[Initial Period
Start Date]])/365,2)*12,0)&lt;=12,"None","Transactional"), IF(ROUND(ROUND((LessorBase[[#This Row],[Incl. Options
End Date]]-LessorBase[[#This Row],[Initial Period
Start Date]])/365,2)*12,0)&lt;=12,"None","Transactional"))</f>
        <v>None</v>
      </c>
      <c r="Z12" s="128">
        <f>LessorBase[[#This Row],[ProvisionType]]</f>
        <v>0</v>
      </c>
      <c r="AA12" s="126"/>
      <c r="AB12" s="126">
        <f>IF(LessorBase[[#This Row],[Incl. Options
End Date]]&gt;0,LessorBase[[#This Row],[Incl. Options
End Date]],LessorBase[[#This Row],[Initial Period
End Date]])</f>
        <v>0</v>
      </c>
      <c r="AC12" s="129"/>
      <c r="AD12" s="87"/>
      <c r="AE12" s="87"/>
      <c r="AF12" s="130"/>
      <c r="AG12" s="126"/>
      <c r="AH12" s="126">
        <f>IF(LessorBase[[#This Row],[Incl. Options
End Date]]&gt;0,LessorBase[[#This Row],[Incl. Options
End Date]],LessorBase[[#This Row],[Initial Period
End Date]])</f>
        <v>0</v>
      </c>
      <c r="AI12" s="128" t="e" cm="1">
        <f t="array" ref="AI12">ROUND(ROUND((LessorBase[[#This Row],[Payment
EndDate]]-LessorBase[[#This Row],[Payment
StartDate]])/365,2)*_xlfn.IFS(LessorBase[[#This Row],[Payment
Frequency]]="MO",12,LessorBase[[#This Row],[Payment
Frequency]]="QT",4,LessorBase[[#This Row],[Payment
Frequency]]="SA",2,LessorBase[[#This Row],[Payment
Frequency]]="AN",1),0)</f>
        <v>#N/A</v>
      </c>
      <c r="AJ12" s="129" t="e">
        <f>ROUND(LessorBase[[#This Row],[Payment
Amount]]*LessorBase[[#This Row],[Number of
 Payments]],2)</f>
        <v>#N/A</v>
      </c>
      <c r="AK12" s="129" t="e">
        <f>IF(LessorBase[[#This Row],[Multi-
Record2]]="Multi-Amount", "calc on import", ROUND(PV(LessorBase[[#This Row],[Annual
Rate]]/IF(LessorBase[[#This Row],[Payment
Frequency]] = "MO",12,IF(LessorBase[[#This Row],[Payment
Frequency]] = "QT",4,IF(LessorBase[[#This Row],[Payment
Frequency]] = "SA",2,IF(LessorBase[[#This Row],[Payment
Frequency]] = "AN",1,0)))),LessorBase[[#This Row],[Number of
 Payments]],LessorBase[[#This Row],[Payment
Amount]],,IF(LessorBase[[#This Row],[Payment
Timing]]="Advance",1,IF(LessorBase[[#This Row],[Payment
Timing]]="Arrears",0,"x")))*-1,2))</f>
        <v>#DIV/0!</v>
      </c>
      <c r="AL12" s="129" t="e">
        <f>IF(LessorBase[[#This Row],[Multi-
Record2]]="Multi-Amount", "calc on import",LessorBase[[#This Row],[Total Amount
of Payments]]-LessorBase[[#This Row],[Present
Value]])</f>
        <v>#N/A</v>
      </c>
      <c r="AM12" s="129" t="e">
        <f>IF(LessorBase[[#This Row],[Multi-
Record2]]="Multi-Amount", "calc on import", LessorBase[[#This Row],[Present
Value]])</f>
        <v>#DIV/0!</v>
      </c>
      <c r="AN12" s="87" t="s">
        <v>295</v>
      </c>
      <c r="AO12" s="87"/>
      <c r="AP12" s="127"/>
      <c r="AQ12" s="87"/>
      <c r="AR12" s="87"/>
      <c r="AS12" s="87"/>
      <c r="AT12" s="87"/>
      <c r="AU12" s="87"/>
      <c r="AV12" s="87"/>
      <c r="AW12" s="87"/>
    </row>
    <row r="13" spans="1:49" x14ac:dyDescent="0.25">
      <c r="A13" s="87" t="s">
        <v>452</v>
      </c>
      <c r="B13" s="87">
        <f>'Agency Cover'!$B$3</f>
        <v>0</v>
      </c>
      <c r="C13" s="87"/>
      <c r="D13" s="87" t="s">
        <v>290</v>
      </c>
      <c r="E13" s="128">
        <f>COUNTIF(LessorBase[AgreementCode],LessorBase[[#This Row],[AgreementCode]])</f>
        <v>0</v>
      </c>
      <c r="F13" s="87"/>
      <c r="G13" s="128">
        <f>COUNTIF(LessorBase[AgreementTitle],LessorBase[[#This Row],[AgreementTitle]])</f>
        <v>0</v>
      </c>
      <c r="H13" s="87"/>
      <c r="I13" s="87"/>
      <c r="J13" s="87"/>
      <c r="K13" s="87"/>
      <c r="L13" s="126"/>
      <c r="M13" s="126"/>
      <c r="N13" s="126"/>
      <c r="O13" s="126"/>
      <c r="P13" s="126"/>
      <c r="Q13" s="126"/>
      <c r="R13" s="126"/>
      <c r="S13" s="131">
        <f>LEN(LessorBase[[#This Row],[Comments]])</f>
        <v>0</v>
      </c>
      <c r="T13" s="127" t="str">
        <f>LessorBase[[#This Row],[Multi-
Record]]</f>
        <v>None</v>
      </c>
      <c r="U13" s="87">
        <f>LessorBase[[#This Row],[AgreementCode]]</f>
        <v>0</v>
      </c>
      <c r="V13" s="87" t="str">
        <f>LEFT(LessorBase[[#This Row],[AgreementTitle]],50)</f>
        <v/>
      </c>
      <c r="W13" s="128">
        <f>LessorBase[[#This Row],[AgreementType]]</f>
        <v>0</v>
      </c>
      <c r="X13" s="87"/>
      <c r="Y13" s="87" t="str">
        <f>IF(LessorBase[[#This Row],[Incl. Options
End Date]] = 0, IF(ROUND(ROUND((LessorBase[[#This Row],[Initial Period
End Date]]-LessorBase[[#This Row],[Initial Period
Start Date]])/365,2)*12,0)&lt;=12,"None","Transactional"), IF(ROUND(ROUND((LessorBase[[#This Row],[Incl. Options
End Date]]-LessorBase[[#This Row],[Initial Period
Start Date]])/365,2)*12,0)&lt;=12,"None","Transactional"))</f>
        <v>None</v>
      </c>
      <c r="Z13" s="128">
        <f>LessorBase[[#This Row],[ProvisionType]]</f>
        <v>0</v>
      </c>
      <c r="AA13" s="126"/>
      <c r="AB13" s="126">
        <f>IF(LessorBase[[#This Row],[Incl. Options
End Date]]&gt;0,LessorBase[[#This Row],[Incl. Options
End Date]],LessorBase[[#This Row],[Initial Period
End Date]])</f>
        <v>0</v>
      </c>
      <c r="AC13" s="129"/>
      <c r="AD13" s="87"/>
      <c r="AE13" s="87"/>
      <c r="AF13" s="130"/>
      <c r="AG13" s="126"/>
      <c r="AH13" s="126">
        <f>IF(LessorBase[[#This Row],[Incl. Options
End Date]]&gt;0,LessorBase[[#This Row],[Incl. Options
End Date]],LessorBase[[#This Row],[Initial Period
End Date]])</f>
        <v>0</v>
      </c>
      <c r="AI13" s="128" t="e" cm="1">
        <f t="array" ref="AI13">ROUND(ROUND((LessorBase[[#This Row],[Payment
EndDate]]-LessorBase[[#This Row],[Payment
StartDate]])/365,2)*_xlfn.IFS(LessorBase[[#This Row],[Payment
Frequency]]="MO",12,LessorBase[[#This Row],[Payment
Frequency]]="QT",4,LessorBase[[#This Row],[Payment
Frequency]]="SA",2,LessorBase[[#This Row],[Payment
Frequency]]="AN",1),0)</f>
        <v>#N/A</v>
      </c>
      <c r="AJ13" s="129" t="e">
        <f>ROUND(LessorBase[[#This Row],[Payment
Amount]]*LessorBase[[#This Row],[Number of
 Payments]],2)</f>
        <v>#N/A</v>
      </c>
      <c r="AK13" s="129" t="e">
        <f>IF(LessorBase[[#This Row],[Multi-
Record2]]="Multi-Amount", "calc on import", ROUND(PV(LessorBase[[#This Row],[Annual
Rate]]/IF(LessorBase[[#This Row],[Payment
Frequency]] = "MO",12,IF(LessorBase[[#This Row],[Payment
Frequency]] = "QT",4,IF(LessorBase[[#This Row],[Payment
Frequency]] = "SA",2,IF(LessorBase[[#This Row],[Payment
Frequency]] = "AN",1,0)))),LessorBase[[#This Row],[Number of
 Payments]],LessorBase[[#This Row],[Payment
Amount]],,IF(LessorBase[[#This Row],[Payment
Timing]]="Advance",1,IF(LessorBase[[#This Row],[Payment
Timing]]="Arrears",0,"x")))*-1,2))</f>
        <v>#DIV/0!</v>
      </c>
      <c r="AL13" s="129" t="e">
        <f>IF(LessorBase[[#This Row],[Multi-
Record2]]="Multi-Amount", "calc on import",LessorBase[[#This Row],[Total Amount
of Payments]]-LessorBase[[#This Row],[Present
Value]])</f>
        <v>#N/A</v>
      </c>
      <c r="AM13" s="129" t="e">
        <f>IF(LessorBase[[#This Row],[Multi-
Record2]]="Multi-Amount", "calc on import", LessorBase[[#This Row],[Present
Value]])</f>
        <v>#DIV/0!</v>
      </c>
      <c r="AN13" s="87" t="s">
        <v>295</v>
      </c>
      <c r="AO13" s="87"/>
      <c r="AP13" s="127"/>
      <c r="AQ13" s="87"/>
      <c r="AR13" s="87"/>
      <c r="AS13" s="87"/>
      <c r="AT13" s="87"/>
      <c r="AU13" s="87"/>
      <c r="AV13" s="87"/>
      <c r="AW13" s="87"/>
    </row>
    <row r="14" spans="1:49" x14ac:dyDescent="0.25">
      <c r="A14" s="87" t="s">
        <v>452</v>
      </c>
      <c r="B14" s="87">
        <f>'Agency Cover'!$B$3</f>
        <v>0</v>
      </c>
      <c r="C14" s="87"/>
      <c r="D14" s="87" t="s">
        <v>290</v>
      </c>
      <c r="E14" s="128">
        <f>COUNTIF(LessorBase[AgreementCode],LessorBase[[#This Row],[AgreementCode]])</f>
        <v>0</v>
      </c>
      <c r="F14" s="87"/>
      <c r="G14" s="128">
        <f>COUNTIF(LessorBase[AgreementTitle],LessorBase[[#This Row],[AgreementTitle]])</f>
        <v>0</v>
      </c>
      <c r="H14" s="87"/>
      <c r="I14" s="87"/>
      <c r="J14" s="87"/>
      <c r="K14" s="87"/>
      <c r="L14" s="126"/>
      <c r="M14" s="126"/>
      <c r="N14" s="126"/>
      <c r="O14" s="126"/>
      <c r="P14" s="126"/>
      <c r="Q14" s="126"/>
      <c r="R14" s="126"/>
      <c r="S14" s="131">
        <f>LEN(LessorBase[[#This Row],[Comments]])</f>
        <v>0</v>
      </c>
      <c r="T14" s="127" t="str">
        <f>LessorBase[[#This Row],[Multi-
Record]]</f>
        <v>None</v>
      </c>
      <c r="U14" s="87">
        <f>LessorBase[[#This Row],[AgreementCode]]</f>
        <v>0</v>
      </c>
      <c r="V14" s="87" t="str">
        <f>LEFT(LessorBase[[#This Row],[AgreementTitle]],50)</f>
        <v/>
      </c>
      <c r="W14" s="128">
        <f>LessorBase[[#This Row],[AgreementType]]</f>
        <v>0</v>
      </c>
      <c r="X14" s="87"/>
      <c r="Y14" s="87" t="str">
        <f>IF(LessorBase[[#This Row],[Incl. Options
End Date]] = 0, IF(ROUND(ROUND((LessorBase[[#This Row],[Initial Period
End Date]]-LessorBase[[#This Row],[Initial Period
Start Date]])/365,2)*12,0)&lt;=12,"None","Transactional"), IF(ROUND(ROUND((LessorBase[[#This Row],[Incl. Options
End Date]]-LessorBase[[#This Row],[Initial Period
Start Date]])/365,2)*12,0)&lt;=12,"None","Transactional"))</f>
        <v>None</v>
      </c>
      <c r="Z14" s="128">
        <f>LessorBase[[#This Row],[ProvisionType]]</f>
        <v>0</v>
      </c>
      <c r="AA14" s="126"/>
      <c r="AB14" s="126">
        <f>IF(LessorBase[[#This Row],[Incl. Options
End Date]]&gt;0,LessorBase[[#This Row],[Incl. Options
End Date]],LessorBase[[#This Row],[Initial Period
End Date]])</f>
        <v>0</v>
      </c>
      <c r="AC14" s="129"/>
      <c r="AD14" s="87"/>
      <c r="AE14" s="87"/>
      <c r="AF14" s="130"/>
      <c r="AG14" s="126"/>
      <c r="AH14" s="126">
        <f>IF(LessorBase[[#This Row],[Incl. Options
End Date]]&gt;0,LessorBase[[#This Row],[Incl. Options
End Date]],LessorBase[[#This Row],[Initial Period
End Date]])</f>
        <v>0</v>
      </c>
      <c r="AI14" s="128" t="e" cm="1">
        <f t="array" ref="AI14">ROUND(ROUND((LessorBase[[#This Row],[Payment
EndDate]]-LessorBase[[#This Row],[Payment
StartDate]])/365,2)*_xlfn.IFS(LessorBase[[#This Row],[Payment
Frequency]]="MO",12,LessorBase[[#This Row],[Payment
Frequency]]="QT",4,LessorBase[[#This Row],[Payment
Frequency]]="SA",2,LessorBase[[#This Row],[Payment
Frequency]]="AN",1),0)</f>
        <v>#N/A</v>
      </c>
      <c r="AJ14" s="129" t="e">
        <f>ROUND(LessorBase[[#This Row],[Payment
Amount]]*LessorBase[[#This Row],[Number of
 Payments]],2)</f>
        <v>#N/A</v>
      </c>
      <c r="AK14" s="129" t="e">
        <f>IF(LessorBase[[#This Row],[Multi-
Record2]]="Multi-Amount", "calc on import", ROUND(PV(LessorBase[[#This Row],[Annual
Rate]]/IF(LessorBase[[#This Row],[Payment
Frequency]] = "MO",12,IF(LessorBase[[#This Row],[Payment
Frequency]] = "QT",4,IF(LessorBase[[#This Row],[Payment
Frequency]] = "SA",2,IF(LessorBase[[#This Row],[Payment
Frequency]] = "AN",1,0)))),LessorBase[[#This Row],[Number of
 Payments]],LessorBase[[#This Row],[Payment
Amount]],,IF(LessorBase[[#This Row],[Payment
Timing]]="Advance",1,IF(LessorBase[[#This Row],[Payment
Timing]]="Arrears",0,"x")))*-1,2))</f>
        <v>#DIV/0!</v>
      </c>
      <c r="AL14" s="129" t="e">
        <f>IF(LessorBase[[#This Row],[Multi-
Record2]]="Multi-Amount", "calc on import",LessorBase[[#This Row],[Total Amount
of Payments]]-LessorBase[[#This Row],[Present
Value]])</f>
        <v>#N/A</v>
      </c>
      <c r="AM14" s="129" t="e">
        <f>IF(LessorBase[[#This Row],[Multi-
Record2]]="Multi-Amount", "calc on import", LessorBase[[#This Row],[Present
Value]])</f>
        <v>#DIV/0!</v>
      </c>
      <c r="AN14" s="87" t="s">
        <v>295</v>
      </c>
      <c r="AO14" s="87"/>
      <c r="AP14" s="127"/>
      <c r="AQ14" s="87"/>
      <c r="AR14" s="87"/>
      <c r="AS14" s="87"/>
      <c r="AT14" s="87"/>
      <c r="AU14" s="87"/>
      <c r="AV14" s="87"/>
      <c r="AW14" s="87"/>
    </row>
    <row r="15" spans="1:49" x14ac:dyDescent="0.25">
      <c r="A15" s="87" t="s">
        <v>452</v>
      </c>
      <c r="B15" s="87">
        <f>'Agency Cover'!$B$3</f>
        <v>0</v>
      </c>
      <c r="C15" s="87"/>
      <c r="D15" s="87" t="s">
        <v>290</v>
      </c>
      <c r="E15" s="128">
        <f>COUNTIF(LessorBase[AgreementCode],LessorBase[[#This Row],[AgreementCode]])</f>
        <v>0</v>
      </c>
      <c r="F15" s="87"/>
      <c r="G15" s="128">
        <f>COUNTIF(LessorBase[AgreementTitle],LessorBase[[#This Row],[AgreementTitle]])</f>
        <v>0</v>
      </c>
      <c r="H15" s="87"/>
      <c r="I15" s="87"/>
      <c r="J15" s="87"/>
      <c r="K15" s="87"/>
      <c r="L15" s="126"/>
      <c r="M15" s="126"/>
      <c r="N15" s="126"/>
      <c r="O15" s="126"/>
      <c r="P15" s="126"/>
      <c r="Q15" s="126"/>
      <c r="R15" s="126"/>
      <c r="S15" s="131">
        <f>LEN(LessorBase[[#This Row],[Comments]])</f>
        <v>0</v>
      </c>
      <c r="T15" s="127" t="str">
        <f>LessorBase[[#This Row],[Multi-
Record]]</f>
        <v>None</v>
      </c>
      <c r="U15" s="87">
        <f>LessorBase[[#This Row],[AgreementCode]]</f>
        <v>0</v>
      </c>
      <c r="V15" s="87" t="str">
        <f>LEFT(LessorBase[[#This Row],[AgreementTitle]],50)</f>
        <v/>
      </c>
      <c r="W15" s="128">
        <f>LessorBase[[#This Row],[AgreementType]]</f>
        <v>0</v>
      </c>
      <c r="X15" s="87"/>
      <c r="Y15" s="87" t="str">
        <f>IF(LessorBase[[#This Row],[Incl. Options
End Date]] = 0, IF(ROUND(ROUND((LessorBase[[#This Row],[Initial Period
End Date]]-LessorBase[[#This Row],[Initial Period
Start Date]])/365,2)*12,0)&lt;=12,"None","Transactional"), IF(ROUND(ROUND((LessorBase[[#This Row],[Incl. Options
End Date]]-LessorBase[[#This Row],[Initial Period
Start Date]])/365,2)*12,0)&lt;=12,"None","Transactional"))</f>
        <v>None</v>
      </c>
      <c r="Z15" s="128">
        <f>LessorBase[[#This Row],[ProvisionType]]</f>
        <v>0</v>
      </c>
      <c r="AA15" s="126"/>
      <c r="AB15" s="126">
        <f>IF(LessorBase[[#This Row],[Incl. Options
End Date]]&gt;0,LessorBase[[#This Row],[Incl. Options
End Date]],LessorBase[[#This Row],[Initial Period
End Date]])</f>
        <v>0</v>
      </c>
      <c r="AC15" s="129"/>
      <c r="AD15" s="87"/>
      <c r="AE15" s="87"/>
      <c r="AF15" s="130"/>
      <c r="AG15" s="126"/>
      <c r="AH15" s="126">
        <f>IF(LessorBase[[#This Row],[Incl. Options
End Date]]&gt;0,LessorBase[[#This Row],[Incl. Options
End Date]],LessorBase[[#This Row],[Initial Period
End Date]])</f>
        <v>0</v>
      </c>
      <c r="AI15" s="128" t="e" cm="1">
        <f t="array" ref="AI15">ROUND(ROUND((LessorBase[[#This Row],[Payment
EndDate]]-LessorBase[[#This Row],[Payment
StartDate]])/365,2)*_xlfn.IFS(LessorBase[[#This Row],[Payment
Frequency]]="MO",12,LessorBase[[#This Row],[Payment
Frequency]]="QT",4,LessorBase[[#This Row],[Payment
Frequency]]="SA",2,LessorBase[[#This Row],[Payment
Frequency]]="AN",1),0)</f>
        <v>#N/A</v>
      </c>
      <c r="AJ15" s="129" t="e">
        <f>ROUND(LessorBase[[#This Row],[Payment
Amount]]*LessorBase[[#This Row],[Number of
 Payments]],2)</f>
        <v>#N/A</v>
      </c>
      <c r="AK15" s="129" t="e">
        <f>IF(LessorBase[[#This Row],[Multi-
Record2]]="Multi-Amount", "calc on import", ROUND(PV(LessorBase[[#This Row],[Annual
Rate]]/IF(LessorBase[[#This Row],[Payment
Frequency]] = "MO",12,IF(LessorBase[[#This Row],[Payment
Frequency]] = "QT",4,IF(LessorBase[[#This Row],[Payment
Frequency]] = "SA",2,IF(LessorBase[[#This Row],[Payment
Frequency]] = "AN",1,0)))),LessorBase[[#This Row],[Number of
 Payments]],LessorBase[[#This Row],[Payment
Amount]],,IF(LessorBase[[#This Row],[Payment
Timing]]="Advance",1,IF(LessorBase[[#This Row],[Payment
Timing]]="Arrears",0,"x")))*-1,2))</f>
        <v>#DIV/0!</v>
      </c>
      <c r="AL15" s="129" t="e">
        <f>IF(LessorBase[[#This Row],[Multi-
Record2]]="Multi-Amount", "calc on import",LessorBase[[#This Row],[Total Amount
of Payments]]-LessorBase[[#This Row],[Present
Value]])</f>
        <v>#N/A</v>
      </c>
      <c r="AM15" s="129" t="e">
        <f>IF(LessorBase[[#This Row],[Multi-
Record2]]="Multi-Amount", "calc on import", LessorBase[[#This Row],[Present
Value]])</f>
        <v>#DIV/0!</v>
      </c>
      <c r="AN15" s="87" t="s">
        <v>295</v>
      </c>
      <c r="AO15" s="87"/>
      <c r="AP15" s="127"/>
      <c r="AQ15" s="87"/>
      <c r="AR15" s="87"/>
      <c r="AS15" s="87"/>
      <c r="AT15" s="87"/>
      <c r="AU15" s="87"/>
      <c r="AV15" s="87"/>
      <c r="AW15" s="87"/>
    </row>
    <row r="16" spans="1:49" x14ac:dyDescent="0.25">
      <c r="A16" s="87" t="s">
        <v>452</v>
      </c>
      <c r="B16" s="87">
        <f>'Agency Cover'!$B$3</f>
        <v>0</v>
      </c>
      <c r="C16" s="87"/>
      <c r="D16" s="87" t="s">
        <v>290</v>
      </c>
      <c r="E16" s="128">
        <f>COUNTIF(LessorBase[AgreementCode],LessorBase[[#This Row],[AgreementCode]])</f>
        <v>0</v>
      </c>
      <c r="F16" s="87"/>
      <c r="G16" s="128">
        <f>COUNTIF(LessorBase[AgreementTitle],LessorBase[[#This Row],[AgreementTitle]])</f>
        <v>0</v>
      </c>
      <c r="H16" s="87"/>
      <c r="I16" s="87"/>
      <c r="J16" s="87"/>
      <c r="K16" s="87"/>
      <c r="L16" s="126"/>
      <c r="M16" s="126"/>
      <c r="N16" s="126"/>
      <c r="O16" s="126"/>
      <c r="P16" s="126"/>
      <c r="Q16" s="126"/>
      <c r="R16" s="126"/>
      <c r="S16" s="131">
        <f>LEN(LessorBase[[#This Row],[Comments]])</f>
        <v>0</v>
      </c>
      <c r="T16" s="127" t="str">
        <f>LessorBase[[#This Row],[Multi-
Record]]</f>
        <v>None</v>
      </c>
      <c r="U16" s="87">
        <f>LessorBase[[#This Row],[AgreementCode]]</f>
        <v>0</v>
      </c>
      <c r="V16" s="87" t="str">
        <f>LEFT(LessorBase[[#This Row],[AgreementTitle]],50)</f>
        <v/>
      </c>
      <c r="W16" s="128">
        <f>LessorBase[[#This Row],[AgreementType]]</f>
        <v>0</v>
      </c>
      <c r="X16" s="87"/>
      <c r="Y16" s="87" t="str">
        <f>IF(LessorBase[[#This Row],[Incl. Options
End Date]] = 0, IF(ROUND(ROUND((LessorBase[[#This Row],[Initial Period
End Date]]-LessorBase[[#This Row],[Initial Period
Start Date]])/365,2)*12,0)&lt;=12,"None","Transactional"), IF(ROUND(ROUND((LessorBase[[#This Row],[Incl. Options
End Date]]-LessorBase[[#This Row],[Initial Period
Start Date]])/365,2)*12,0)&lt;=12,"None","Transactional"))</f>
        <v>None</v>
      </c>
      <c r="Z16" s="128">
        <f>LessorBase[[#This Row],[ProvisionType]]</f>
        <v>0</v>
      </c>
      <c r="AA16" s="126"/>
      <c r="AB16" s="126">
        <f>IF(LessorBase[[#This Row],[Incl. Options
End Date]]&gt;0,LessorBase[[#This Row],[Incl. Options
End Date]],LessorBase[[#This Row],[Initial Period
End Date]])</f>
        <v>0</v>
      </c>
      <c r="AC16" s="129"/>
      <c r="AD16" s="87"/>
      <c r="AE16" s="87"/>
      <c r="AF16" s="130"/>
      <c r="AG16" s="126"/>
      <c r="AH16" s="126">
        <f>IF(LessorBase[[#This Row],[Incl. Options
End Date]]&gt;0,LessorBase[[#This Row],[Incl. Options
End Date]],LessorBase[[#This Row],[Initial Period
End Date]])</f>
        <v>0</v>
      </c>
      <c r="AI16" s="128" t="e" cm="1">
        <f t="array" ref="AI16">ROUND(ROUND((LessorBase[[#This Row],[Payment
EndDate]]-LessorBase[[#This Row],[Payment
StartDate]])/365,2)*_xlfn.IFS(LessorBase[[#This Row],[Payment
Frequency]]="MO",12,LessorBase[[#This Row],[Payment
Frequency]]="QT",4,LessorBase[[#This Row],[Payment
Frequency]]="SA",2,LessorBase[[#This Row],[Payment
Frequency]]="AN",1),0)</f>
        <v>#N/A</v>
      </c>
      <c r="AJ16" s="129" t="e">
        <f>ROUND(LessorBase[[#This Row],[Payment
Amount]]*LessorBase[[#This Row],[Number of
 Payments]],2)</f>
        <v>#N/A</v>
      </c>
      <c r="AK16" s="129" t="e">
        <f>IF(LessorBase[[#This Row],[Multi-
Record2]]="Multi-Amount", "calc on import", ROUND(PV(LessorBase[[#This Row],[Annual
Rate]]/IF(LessorBase[[#This Row],[Payment
Frequency]] = "MO",12,IF(LessorBase[[#This Row],[Payment
Frequency]] = "QT",4,IF(LessorBase[[#This Row],[Payment
Frequency]] = "SA",2,IF(LessorBase[[#This Row],[Payment
Frequency]] = "AN",1,0)))),LessorBase[[#This Row],[Number of
 Payments]],LessorBase[[#This Row],[Payment
Amount]],,IF(LessorBase[[#This Row],[Payment
Timing]]="Advance",1,IF(LessorBase[[#This Row],[Payment
Timing]]="Arrears",0,"x")))*-1,2))</f>
        <v>#DIV/0!</v>
      </c>
      <c r="AL16" s="129" t="e">
        <f>IF(LessorBase[[#This Row],[Multi-
Record2]]="Multi-Amount", "calc on import",LessorBase[[#This Row],[Total Amount
of Payments]]-LessorBase[[#This Row],[Present
Value]])</f>
        <v>#N/A</v>
      </c>
      <c r="AM16" s="129" t="e">
        <f>IF(LessorBase[[#This Row],[Multi-
Record2]]="Multi-Amount", "calc on import", LessorBase[[#This Row],[Present
Value]])</f>
        <v>#DIV/0!</v>
      </c>
      <c r="AN16" s="87" t="s">
        <v>295</v>
      </c>
      <c r="AO16" s="87"/>
      <c r="AP16" s="127"/>
      <c r="AQ16" s="87"/>
      <c r="AR16" s="87"/>
      <c r="AS16" s="87"/>
      <c r="AT16" s="87"/>
      <c r="AU16" s="87"/>
      <c r="AV16" s="87"/>
      <c r="AW16" s="87"/>
    </row>
    <row r="17" spans="1:49" x14ac:dyDescent="0.25">
      <c r="A17" s="87" t="s">
        <v>452</v>
      </c>
      <c r="B17" s="87">
        <f>'Agency Cover'!$B$3</f>
        <v>0</v>
      </c>
      <c r="C17" s="87"/>
      <c r="D17" s="87" t="s">
        <v>290</v>
      </c>
      <c r="E17" s="128">
        <f>COUNTIF(LessorBase[AgreementCode],LessorBase[[#This Row],[AgreementCode]])</f>
        <v>0</v>
      </c>
      <c r="F17" s="87"/>
      <c r="G17" s="128">
        <f>COUNTIF(LessorBase[AgreementTitle],LessorBase[[#This Row],[AgreementTitle]])</f>
        <v>0</v>
      </c>
      <c r="H17" s="87"/>
      <c r="I17" s="87"/>
      <c r="J17" s="87"/>
      <c r="K17" s="87"/>
      <c r="L17" s="126"/>
      <c r="M17" s="126"/>
      <c r="N17" s="126"/>
      <c r="O17" s="126"/>
      <c r="P17" s="126"/>
      <c r="Q17" s="126"/>
      <c r="R17" s="126"/>
      <c r="S17" s="131">
        <f>LEN(LessorBase[[#This Row],[Comments]])</f>
        <v>0</v>
      </c>
      <c r="T17" s="127" t="str">
        <f>LessorBase[[#This Row],[Multi-
Record]]</f>
        <v>None</v>
      </c>
      <c r="U17" s="87">
        <f>LessorBase[[#This Row],[AgreementCode]]</f>
        <v>0</v>
      </c>
      <c r="V17" s="87" t="str">
        <f>LEFT(LessorBase[[#This Row],[AgreementTitle]],50)</f>
        <v/>
      </c>
      <c r="W17" s="128">
        <f>LessorBase[[#This Row],[AgreementType]]</f>
        <v>0</v>
      </c>
      <c r="X17" s="87"/>
      <c r="Y17" s="87" t="str">
        <f>IF(LessorBase[[#This Row],[Incl. Options
End Date]] = 0, IF(ROUND(ROUND((LessorBase[[#This Row],[Initial Period
End Date]]-LessorBase[[#This Row],[Initial Period
Start Date]])/365,2)*12,0)&lt;=12,"None","Transactional"), IF(ROUND(ROUND((LessorBase[[#This Row],[Incl. Options
End Date]]-LessorBase[[#This Row],[Initial Period
Start Date]])/365,2)*12,0)&lt;=12,"None","Transactional"))</f>
        <v>None</v>
      </c>
      <c r="Z17" s="128">
        <f>LessorBase[[#This Row],[ProvisionType]]</f>
        <v>0</v>
      </c>
      <c r="AA17" s="126"/>
      <c r="AB17" s="126">
        <f>IF(LessorBase[[#This Row],[Incl. Options
End Date]]&gt;0,LessorBase[[#This Row],[Incl. Options
End Date]],LessorBase[[#This Row],[Initial Period
End Date]])</f>
        <v>0</v>
      </c>
      <c r="AC17" s="129"/>
      <c r="AD17" s="87"/>
      <c r="AE17" s="87"/>
      <c r="AF17" s="130"/>
      <c r="AG17" s="126"/>
      <c r="AH17" s="126">
        <f>IF(LessorBase[[#This Row],[Incl. Options
End Date]]&gt;0,LessorBase[[#This Row],[Incl. Options
End Date]],LessorBase[[#This Row],[Initial Period
End Date]])</f>
        <v>0</v>
      </c>
      <c r="AI17" s="128" t="e" cm="1">
        <f t="array" ref="AI17">ROUND(ROUND((LessorBase[[#This Row],[Payment
EndDate]]-LessorBase[[#This Row],[Payment
StartDate]])/365,2)*_xlfn.IFS(LessorBase[[#This Row],[Payment
Frequency]]="MO",12,LessorBase[[#This Row],[Payment
Frequency]]="QT",4,LessorBase[[#This Row],[Payment
Frequency]]="SA",2,LessorBase[[#This Row],[Payment
Frequency]]="AN",1),0)</f>
        <v>#N/A</v>
      </c>
      <c r="AJ17" s="129" t="e">
        <f>ROUND(LessorBase[[#This Row],[Payment
Amount]]*LessorBase[[#This Row],[Number of
 Payments]],2)</f>
        <v>#N/A</v>
      </c>
      <c r="AK17" s="129" t="e">
        <f>IF(LessorBase[[#This Row],[Multi-
Record2]]="Multi-Amount", "calc on import", ROUND(PV(LessorBase[[#This Row],[Annual
Rate]]/IF(LessorBase[[#This Row],[Payment
Frequency]] = "MO",12,IF(LessorBase[[#This Row],[Payment
Frequency]] = "QT",4,IF(LessorBase[[#This Row],[Payment
Frequency]] = "SA",2,IF(LessorBase[[#This Row],[Payment
Frequency]] = "AN",1,0)))),LessorBase[[#This Row],[Number of
 Payments]],LessorBase[[#This Row],[Payment
Amount]],,IF(LessorBase[[#This Row],[Payment
Timing]]="Advance",1,IF(LessorBase[[#This Row],[Payment
Timing]]="Arrears",0,"x")))*-1,2))</f>
        <v>#DIV/0!</v>
      </c>
      <c r="AL17" s="129" t="e">
        <f>IF(LessorBase[[#This Row],[Multi-
Record2]]="Multi-Amount", "calc on import",LessorBase[[#This Row],[Total Amount
of Payments]]-LessorBase[[#This Row],[Present
Value]])</f>
        <v>#N/A</v>
      </c>
      <c r="AM17" s="129" t="e">
        <f>IF(LessorBase[[#This Row],[Multi-
Record2]]="Multi-Amount", "calc on import", LessorBase[[#This Row],[Present
Value]])</f>
        <v>#DIV/0!</v>
      </c>
      <c r="AN17" s="87" t="s">
        <v>295</v>
      </c>
      <c r="AO17" s="87"/>
      <c r="AP17" s="127"/>
      <c r="AQ17" s="87"/>
      <c r="AR17" s="87"/>
      <c r="AS17" s="87"/>
      <c r="AT17" s="87"/>
      <c r="AU17" s="87"/>
      <c r="AV17" s="87"/>
      <c r="AW17" s="87"/>
    </row>
    <row r="18" spans="1:49" x14ac:dyDescent="0.25">
      <c r="A18" s="87" t="s">
        <v>452</v>
      </c>
      <c r="B18" s="87">
        <f>'Agency Cover'!$B$3</f>
        <v>0</v>
      </c>
      <c r="C18" s="87"/>
      <c r="D18" s="87" t="s">
        <v>290</v>
      </c>
      <c r="E18" s="128">
        <f>COUNTIF(LessorBase[AgreementCode],LessorBase[[#This Row],[AgreementCode]])</f>
        <v>0</v>
      </c>
      <c r="F18" s="87"/>
      <c r="G18" s="128">
        <f>COUNTIF(LessorBase[AgreementTitle],LessorBase[[#This Row],[AgreementTitle]])</f>
        <v>0</v>
      </c>
      <c r="H18" s="87"/>
      <c r="I18" s="87"/>
      <c r="J18" s="87"/>
      <c r="K18" s="87"/>
      <c r="L18" s="126"/>
      <c r="M18" s="126"/>
      <c r="N18" s="126"/>
      <c r="O18" s="126"/>
      <c r="P18" s="126"/>
      <c r="Q18" s="126"/>
      <c r="R18" s="126"/>
      <c r="S18" s="131">
        <f>LEN(LessorBase[[#This Row],[Comments]])</f>
        <v>0</v>
      </c>
      <c r="T18" s="127" t="str">
        <f>LessorBase[[#This Row],[Multi-
Record]]</f>
        <v>None</v>
      </c>
      <c r="U18" s="87">
        <f>LessorBase[[#This Row],[AgreementCode]]</f>
        <v>0</v>
      </c>
      <c r="V18" s="87" t="str">
        <f>LEFT(LessorBase[[#This Row],[AgreementTitle]],50)</f>
        <v/>
      </c>
      <c r="W18" s="128">
        <f>LessorBase[[#This Row],[AgreementType]]</f>
        <v>0</v>
      </c>
      <c r="X18" s="87"/>
      <c r="Y18" s="87" t="str">
        <f>IF(LessorBase[[#This Row],[Incl. Options
End Date]] = 0, IF(ROUND(ROUND((LessorBase[[#This Row],[Initial Period
End Date]]-LessorBase[[#This Row],[Initial Period
Start Date]])/365,2)*12,0)&lt;=12,"None","Transactional"), IF(ROUND(ROUND((LessorBase[[#This Row],[Incl. Options
End Date]]-LessorBase[[#This Row],[Initial Period
Start Date]])/365,2)*12,0)&lt;=12,"None","Transactional"))</f>
        <v>None</v>
      </c>
      <c r="Z18" s="128">
        <f>LessorBase[[#This Row],[ProvisionType]]</f>
        <v>0</v>
      </c>
      <c r="AA18" s="126"/>
      <c r="AB18" s="126">
        <f>IF(LessorBase[[#This Row],[Incl. Options
End Date]]&gt;0,LessorBase[[#This Row],[Incl. Options
End Date]],LessorBase[[#This Row],[Initial Period
End Date]])</f>
        <v>0</v>
      </c>
      <c r="AC18" s="129"/>
      <c r="AD18" s="87"/>
      <c r="AE18" s="87"/>
      <c r="AF18" s="130"/>
      <c r="AG18" s="126"/>
      <c r="AH18" s="126">
        <f>IF(LessorBase[[#This Row],[Incl. Options
End Date]]&gt;0,LessorBase[[#This Row],[Incl. Options
End Date]],LessorBase[[#This Row],[Initial Period
End Date]])</f>
        <v>0</v>
      </c>
      <c r="AI18" s="128" t="e" cm="1">
        <f t="array" ref="AI18">ROUND(ROUND((LessorBase[[#This Row],[Payment
EndDate]]-LessorBase[[#This Row],[Payment
StartDate]])/365,2)*_xlfn.IFS(LessorBase[[#This Row],[Payment
Frequency]]="MO",12,LessorBase[[#This Row],[Payment
Frequency]]="QT",4,LessorBase[[#This Row],[Payment
Frequency]]="SA",2,LessorBase[[#This Row],[Payment
Frequency]]="AN",1),0)</f>
        <v>#N/A</v>
      </c>
      <c r="AJ18" s="129" t="e">
        <f>ROUND(LessorBase[[#This Row],[Payment
Amount]]*LessorBase[[#This Row],[Number of
 Payments]],2)</f>
        <v>#N/A</v>
      </c>
      <c r="AK18" s="129" t="e">
        <f>IF(LessorBase[[#This Row],[Multi-
Record2]]="Multi-Amount", "calc on import", ROUND(PV(LessorBase[[#This Row],[Annual
Rate]]/IF(LessorBase[[#This Row],[Payment
Frequency]] = "MO",12,IF(LessorBase[[#This Row],[Payment
Frequency]] = "QT",4,IF(LessorBase[[#This Row],[Payment
Frequency]] = "SA",2,IF(LessorBase[[#This Row],[Payment
Frequency]] = "AN",1,0)))),LessorBase[[#This Row],[Number of
 Payments]],LessorBase[[#This Row],[Payment
Amount]],,IF(LessorBase[[#This Row],[Payment
Timing]]="Advance",1,IF(LessorBase[[#This Row],[Payment
Timing]]="Arrears",0,"x")))*-1,2))</f>
        <v>#DIV/0!</v>
      </c>
      <c r="AL18" s="129" t="e">
        <f>IF(LessorBase[[#This Row],[Multi-
Record2]]="Multi-Amount", "calc on import",LessorBase[[#This Row],[Total Amount
of Payments]]-LessorBase[[#This Row],[Present
Value]])</f>
        <v>#N/A</v>
      </c>
      <c r="AM18" s="129" t="e">
        <f>IF(LessorBase[[#This Row],[Multi-
Record2]]="Multi-Amount", "calc on import", LessorBase[[#This Row],[Present
Value]])</f>
        <v>#DIV/0!</v>
      </c>
      <c r="AN18" s="87" t="s">
        <v>295</v>
      </c>
      <c r="AO18" s="87"/>
      <c r="AP18" s="127"/>
      <c r="AQ18" s="87"/>
      <c r="AR18" s="87"/>
      <c r="AS18" s="87"/>
      <c r="AT18" s="87"/>
      <c r="AU18" s="87"/>
      <c r="AV18" s="87"/>
      <c r="AW18" s="87"/>
    </row>
    <row r="19" spans="1:49" x14ac:dyDescent="0.25">
      <c r="A19" s="87" t="s">
        <v>452</v>
      </c>
      <c r="B19" s="87">
        <f>'Agency Cover'!$B$3</f>
        <v>0</v>
      </c>
      <c r="C19" s="87"/>
      <c r="D19" s="87" t="s">
        <v>290</v>
      </c>
      <c r="E19" s="128">
        <f>COUNTIF(LessorBase[AgreementCode],LessorBase[[#This Row],[AgreementCode]])</f>
        <v>0</v>
      </c>
      <c r="F19" s="87"/>
      <c r="G19" s="128">
        <f>COUNTIF(LessorBase[AgreementTitle],LessorBase[[#This Row],[AgreementTitle]])</f>
        <v>0</v>
      </c>
      <c r="H19" s="87"/>
      <c r="I19" s="87"/>
      <c r="J19" s="87"/>
      <c r="K19" s="87"/>
      <c r="L19" s="126"/>
      <c r="M19" s="126"/>
      <c r="N19" s="126"/>
      <c r="O19" s="126"/>
      <c r="P19" s="126"/>
      <c r="Q19" s="126"/>
      <c r="R19" s="126"/>
      <c r="S19" s="131">
        <f>LEN(LessorBase[[#This Row],[Comments]])</f>
        <v>0</v>
      </c>
      <c r="T19" s="127" t="str">
        <f>LessorBase[[#This Row],[Multi-
Record]]</f>
        <v>None</v>
      </c>
      <c r="U19" s="87">
        <f>LessorBase[[#This Row],[AgreementCode]]</f>
        <v>0</v>
      </c>
      <c r="V19" s="87" t="str">
        <f>LEFT(LessorBase[[#This Row],[AgreementTitle]],50)</f>
        <v/>
      </c>
      <c r="W19" s="128">
        <f>LessorBase[[#This Row],[AgreementType]]</f>
        <v>0</v>
      </c>
      <c r="X19" s="87"/>
      <c r="Y19" s="87" t="str">
        <f>IF(LessorBase[[#This Row],[Incl. Options
End Date]] = 0, IF(ROUND(ROUND((LessorBase[[#This Row],[Initial Period
End Date]]-LessorBase[[#This Row],[Initial Period
Start Date]])/365,2)*12,0)&lt;=12,"None","Transactional"), IF(ROUND(ROUND((LessorBase[[#This Row],[Incl. Options
End Date]]-LessorBase[[#This Row],[Initial Period
Start Date]])/365,2)*12,0)&lt;=12,"None","Transactional"))</f>
        <v>None</v>
      </c>
      <c r="Z19" s="128">
        <f>LessorBase[[#This Row],[ProvisionType]]</f>
        <v>0</v>
      </c>
      <c r="AA19" s="126"/>
      <c r="AB19" s="126">
        <f>IF(LessorBase[[#This Row],[Incl. Options
End Date]]&gt;0,LessorBase[[#This Row],[Incl. Options
End Date]],LessorBase[[#This Row],[Initial Period
End Date]])</f>
        <v>0</v>
      </c>
      <c r="AC19" s="129"/>
      <c r="AD19" s="87"/>
      <c r="AE19" s="87"/>
      <c r="AF19" s="130"/>
      <c r="AG19" s="126"/>
      <c r="AH19" s="126">
        <f>IF(LessorBase[[#This Row],[Incl. Options
End Date]]&gt;0,LessorBase[[#This Row],[Incl. Options
End Date]],LessorBase[[#This Row],[Initial Period
End Date]])</f>
        <v>0</v>
      </c>
      <c r="AI19" s="128" t="e" cm="1">
        <f t="array" ref="AI19">ROUND(ROUND((LessorBase[[#This Row],[Payment
EndDate]]-LessorBase[[#This Row],[Payment
StartDate]])/365,2)*_xlfn.IFS(LessorBase[[#This Row],[Payment
Frequency]]="MO",12,LessorBase[[#This Row],[Payment
Frequency]]="QT",4,LessorBase[[#This Row],[Payment
Frequency]]="SA",2,LessorBase[[#This Row],[Payment
Frequency]]="AN",1),0)</f>
        <v>#N/A</v>
      </c>
      <c r="AJ19" s="129" t="e">
        <f>ROUND(LessorBase[[#This Row],[Payment
Amount]]*LessorBase[[#This Row],[Number of
 Payments]],2)</f>
        <v>#N/A</v>
      </c>
      <c r="AK19" s="129" t="e">
        <f>IF(LessorBase[[#This Row],[Multi-
Record2]]="Multi-Amount", "calc on import", ROUND(PV(LessorBase[[#This Row],[Annual
Rate]]/IF(LessorBase[[#This Row],[Payment
Frequency]] = "MO",12,IF(LessorBase[[#This Row],[Payment
Frequency]] = "QT",4,IF(LessorBase[[#This Row],[Payment
Frequency]] = "SA",2,IF(LessorBase[[#This Row],[Payment
Frequency]] = "AN",1,0)))),LessorBase[[#This Row],[Number of
 Payments]],LessorBase[[#This Row],[Payment
Amount]],,IF(LessorBase[[#This Row],[Payment
Timing]]="Advance",1,IF(LessorBase[[#This Row],[Payment
Timing]]="Arrears",0,"x")))*-1,2))</f>
        <v>#DIV/0!</v>
      </c>
      <c r="AL19" s="129" t="e">
        <f>IF(LessorBase[[#This Row],[Multi-
Record2]]="Multi-Amount", "calc on import",LessorBase[[#This Row],[Total Amount
of Payments]]-LessorBase[[#This Row],[Present
Value]])</f>
        <v>#N/A</v>
      </c>
      <c r="AM19" s="129" t="e">
        <f>IF(LessorBase[[#This Row],[Multi-
Record2]]="Multi-Amount", "calc on import", LessorBase[[#This Row],[Present
Value]])</f>
        <v>#DIV/0!</v>
      </c>
      <c r="AN19" s="87" t="s">
        <v>295</v>
      </c>
      <c r="AO19" s="87"/>
      <c r="AP19" s="127"/>
      <c r="AQ19" s="87"/>
      <c r="AR19" s="87"/>
      <c r="AS19" s="87"/>
      <c r="AT19" s="87"/>
      <c r="AU19" s="87"/>
      <c r="AV19" s="87"/>
      <c r="AW19" s="87"/>
    </row>
    <row r="20" spans="1:49" x14ac:dyDescent="0.25">
      <c r="A20" s="87" t="s">
        <v>452</v>
      </c>
      <c r="B20" s="87">
        <f>'Agency Cover'!$B$3</f>
        <v>0</v>
      </c>
      <c r="C20" s="87"/>
      <c r="D20" s="87" t="s">
        <v>290</v>
      </c>
      <c r="E20" s="128">
        <f>COUNTIF(LessorBase[AgreementCode],LessorBase[[#This Row],[AgreementCode]])</f>
        <v>0</v>
      </c>
      <c r="F20" s="87"/>
      <c r="G20" s="128">
        <f>COUNTIF(LessorBase[AgreementTitle],LessorBase[[#This Row],[AgreementTitle]])</f>
        <v>0</v>
      </c>
      <c r="H20" s="87"/>
      <c r="I20" s="87"/>
      <c r="J20" s="87"/>
      <c r="K20" s="87"/>
      <c r="L20" s="126"/>
      <c r="M20" s="126"/>
      <c r="N20" s="126"/>
      <c r="O20" s="126"/>
      <c r="P20" s="126"/>
      <c r="Q20" s="126"/>
      <c r="R20" s="126"/>
      <c r="S20" s="131">
        <f>LEN(LessorBase[[#This Row],[Comments]])</f>
        <v>0</v>
      </c>
      <c r="T20" s="127" t="str">
        <f>LessorBase[[#This Row],[Multi-
Record]]</f>
        <v>None</v>
      </c>
      <c r="U20" s="87">
        <f>LessorBase[[#This Row],[AgreementCode]]</f>
        <v>0</v>
      </c>
      <c r="V20" s="87" t="str">
        <f>LEFT(LessorBase[[#This Row],[AgreementTitle]],50)</f>
        <v/>
      </c>
      <c r="W20" s="128">
        <f>LessorBase[[#This Row],[AgreementType]]</f>
        <v>0</v>
      </c>
      <c r="X20" s="87"/>
      <c r="Y20" s="87" t="str">
        <f>IF(LessorBase[[#This Row],[Incl. Options
End Date]] = 0, IF(ROUND(ROUND((LessorBase[[#This Row],[Initial Period
End Date]]-LessorBase[[#This Row],[Initial Period
Start Date]])/365,2)*12,0)&lt;=12,"None","Transactional"), IF(ROUND(ROUND((LessorBase[[#This Row],[Incl. Options
End Date]]-LessorBase[[#This Row],[Initial Period
Start Date]])/365,2)*12,0)&lt;=12,"None","Transactional"))</f>
        <v>None</v>
      </c>
      <c r="Z20" s="128">
        <f>LessorBase[[#This Row],[ProvisionType]]</f>
        <v>0</v>
      </c>
      <c r="AA20" s="126"/>
      <c r="AB20" s="126">
        <f>IF(LessorBase[[#This Row],[Incl. Options
End Date]]&gt;0,LessorBase[[#This Row],[Incl. Options
End Date]],LessorBase[[#This Row],[Initial Period
End Date]])</f>
        <v>0</v>
      </c>
      <c r="AC20" s="129"/>
      <c r="AD20" s="87"/>
      <c r="AE20" s="87"/>
      <c r="AF20" s="130"/>
      <c r="AG20" s="126"/>
      <c r="AH20" s="126">
        <f>IF(LessorBase[[#This Row],[Incl. Options
End Date]]&gt;0,LessorBase[[#This Row],[Incl. Options
End Date]],LessorBase[[#This Row],[Initial Period
End Date]])</f>
        <v>0</v>
      </c>
      <c r="AI20" s="128" t="e" cm="1">
        <f t="array" ref="AI20">ROUND(ROUND((LessorBase[[#This Row],[Payment
EndDate]]-LessorBase[[#This Row],[Payment
StartDate]])/365,2)*_xlfn.IFS(LessorBase[[#This Row],[Payment
Frequency]]="MO",12,LessorBase[[#This Row],[Payment
Frequency]]="QT",4,LessorBase[[#This Row],[Payment
Frequency]]="SA",2,LessorBase[[#This Row],[Payment
Frequency]]="AN",1),0)</f>
        <v>#N/A</v>
      </c>
      <c r="AJ20" s="129" t="e">
        <f>ROUND(LessorBase[[#This Row],[Payment
Amount]]*LessorBase[[#This Row],[Number of
 Payments]],2)</f>
        <v>#N/A</v>
      </c>
      <c r="AK20" s="129" t="e">
        <f>IF(LessorBase[[#This Row],[Multi-
Record2]]="Multi-Amount", "calc on import", ROUND(PV(LessorBase[[#This Row],[Annual
Rate]]/IF(LessorBase[[#This Row],[Payment
Frequency]] = "MO",12,IF(LessorBase[[#This Row],[Payment
Frequency]] = "QT",4,IF(LessorBase[[#This Row],[Payment
Frequency]] = "SA",2,IF(LessorBase[[#This Row],[Payment
Frequency]] = "AN",1,0)))),LessorBase[[#This Row],[Number of
 Payments]],LessorBase[[#This Row],[Payment
Amount]],,IF(LessorBase[[#This Row],[Payment
Timing]]="Advance",1,IF(LessorBase[[#This Row],[Payment
Timing]]="Arrears",0,"x")))*-1,2))</f>
        <v>#DIV/0!</v>
      </c>
      <c r="AL20" s="129" t="e">
        <f>IF(LessorBase[[#This Row],[Multi-
Record2]]="Multi-Amount", "calc on import",LessorBase[[#This Row],[Total Amount
of Payments]]-LessorBase[[#This Row],[Present
Value]])</f>
        <v>#N/A</v>
      </c>
      <c r="AM20" s="129" t="e">
        <f>IF(LessorBase[[#This Row],[Multi-
Record2]]="Multi-Amount", "calc on import", LessorBase[[#This Row],[Present
Value]])</f>
        <v>#DIV/0!</v>
      </c>
      <c r="AN20" s="87" t="s">
        <v>295</v>
      </c>
      <c r="AO20" s="87"/>
      <c r="AP20" s="127"/>
      <c r="AQ20" s="87"/>
      <c r="AR20" s="87"/>
      <c r="AS20" s="87"/>
      <c r="AT20" s="87"/>
      <c r="AU20" s="87"/>
      <c r="AV20" s="87"/>
      <c r="AW20" s="87"/>
    </row>
    <row r="21" spans="1:49" x14ac:dyDescent="0.25">
      <c r="A21" s="87" t="s">
        <v>452</v>
      </c>
      <c r="B21" s="87">
        <f>'Agency Cover'!$B$3</f>
        <v>0</v>
      </c>
      <c r="C21" s="87"/>
      <c r="D21" s="87" t="s">
        <v>290</v>
      </c>
      <c r="E21" s="128">
        <f>COUNTIF(LessorBase[AgreementCode],LessorBase[[#This Row],[AgreementCode]])</f>
        <v>0</v>
      </c>
      <c r="F21" s="87"/>
      <c r="G21" s="128">
        <f>COUNTIF(LessorBase[AgreementTitle],LessorBase[[#This Row],[AgreementTitle]])</f>
        <v>0</v>
      </c>
      <c r="H21" s="87"/>
      <c r="I21" s="87"/>
      <c r="J21" s="87"/>
      <c r="K21" s="87"/>
      <c r="L21" s="126"/>
      <c r="M21" s="126"/>
      <c r="N21" s="126"/>
      <c r="O21" s="126"/>
      <c r="P21" s="126"/>
      <c r="Q21" s="126"/>
      <c r="R21" s="126"/>
      <c r="S21" s="131">
        <f>LEN(LessorBase[[#This Row],[Comments]])</f>
        <v>0</v>
      </c>
      <c r="T21" s="127" t="str">
        <f>LessorBase[[#This Row],[Multi-
Record]]</f>
        <v>None</v>
      </c>
      <c r="U21" s="87">
        <f>LessorBase[[#This Row],[AgreementCode]]</f>
        <v>0</v>
      </c>
      <c r="V21" s="87" t="str">
        <f>LEFT(LessorBase[[#This Row],[AgreementTitle]],50)</f>
        <v/>
      </c>
      <c r="W21" s="128">
        <f>LessorBase[[#This Row],[AgreementType]]</f>
        <v>0</v>
      </c>
      <c r="X21" s="87"/>
      <c r="Y21" s="87" t="str">
        <f>IF(LessorBase[[#This Row],[Incl. Options
End Date]] = 0, IF(ROUND(ROUND((LessorBase[[#This Row],[Initial Period
End Date]]-LessorBase[[#This Row],[Initial Period
Start Date]])/365,2)*12,0)&lt;=12,"None","Transactional"), IF(ROUND(ROUND((LessorBase[[#This Row],[Incl. Options
End Date]]-LessorBase[[#This Row],[Initial Period
Start Date]])/365,2)*12,0)&lt;=12,"None","Transactional"))</f>
        <v>None</v>
      </c>
      <c r="Z21" s="128">
        <f>LessorBase[[#This Row],[ProvisionType]]</f>
        <v>0</v>
      </c>
      <c r="AA21" s="126"/>
      <c r="AB21" s="126">
        <f>IF(LessorBase[[#This Row],[Incl. Options
End Date]]&gt;0,LessorBase[[#This Row],[Incl. Options
End Date]],LessorBase[[#This Row],[Initial Period
End Date]])</f>
        <v>0</v>
      </c>
      <c r="AC21" s="129"/>
      <c r="AD21" s="87"/>
      <c r="AE21" s="87"/>
      <c r="AF21" s="130"/>
      <c r="AG21" s="126"/>
      <c r="AH21" s="126">
        <f>IF(LessorBase[[#This Row],[Incl. Options
End Date]]&gt;0,LessorBase[[#This Row],[Incl. Options
End Date]],LessorBase[[#This Row],[Initial Period
End Date]])</f>
        <v>0</v>
      </c>
      <c r="AI21" s="128" t="e" cm="1">
        <f t="array" ref="AI21">ROUND(ROUND((LessorBase[[#This Row],[Payment
EndDate]]-LessorBase[[#This Row],[Payment
StartDate]])/365,2)*_xlfn.IFS(LessorBase[[#This Row],[Payment
Frequency]]="MO",12,LessorBase[[#This Row],[Payment
Frequency]]="QT",4,LessorBase[[#This Row],[Payment
Frequency]]="SA",2,LessorBase[[#This Row],[Payment
Frequency]]="AN",1),0)</f>
        <v>#N/A</v>
      </c>
      <c r="AJ21" s="129" t="e">
        <f>ROUND(LessorBase[[#This Row],[Payment
Amount]]*LessorBase[[#This Row],[Number of
 Payments]],2)</f>
        <v>#N/A</v>
      </c>
      <c r="AK21" s="129" t="e">
        <f>IF(LessorBase[[#This Row],[Multi-
Record2]]="Multi-Amount", "calc on import", ROUND(PV(LessorBase[[#This Row],[Annual
Rate]]/IF(LessorBase[[#This Row],[Payment
Frequency]] = "MO",12,IF(LessorBase[[#This Row],[Payment
Frequency]] = "QT",4,IF(LessorBase[[#This Row],[Payment
Frequency]] = "SA",2,IF(LessorBase[[#This Row],[Payment
Frequency]] = "AN",1,0)))),LessorBase[[#This Row],[Number of
 Payments]],LessorBase[[#This Row],[Payment
Amount]],,IF(LessorBase[[#This Row],[Payment
Timing]]="Advance",1,IF(LessorBase[[#This Row],[Payment
Timing]]="Arrears",0,"x")))*-1,2))</f>
        <v>#DIV/0!</v>
      </c>
      <c r="AL21" s="129" t="e">
        <f>IF(LessorBase[[#This Row],[Multi-
Record2]]="Multi-Amount", "calc on import",LessorBase[[#This Row],[Total Amount
of Payments]]-LessorBase[[#This Row],[Present
Value]])</f>
        <v>#N/A</v>
      </c>
      <c r="AM21" s="129" t="e">
        <f>IF(LessorBase[[#This Row],[Multi-
Record2]]="Multi-Amount", "calc on import", LessorBase[[#This Row],[Present
Value]])</f>
        <v>#DIV/0!</v>
      </c>
      <c r="AN21" s="87" t="s">
        <v>295</v>
      </c>
      <c r="AO21" s="87"/>
      <c r="AP21" s="127"/>
      <c r="AQ21" s="87"/>
      <c r="AR21" s="87"/>
      <c r="AS21" s="87"/>
      <c r="AT21" s="87"/>
      <c r="AU21" s="87"/>
      <c r="AV21" s="87"/>
      <c r="AW21" s="87"/>
    </row>
    <row r="22" spans="1:49" x14ac:dyDescent="0.25">
      <c r="A22" s="87" t="s">
        <v>452</v>
      </c>
      <c r="B22" s="87">
        <f>'Agency Cover'!$B$3</f>
        <v>0</v>
      </c>
      <c r="C22" s="87"/>
      <c r="D22" s="87" t="s">
        <v>290</v>
      </c>
      <c r="E22" s="128">
        <f>COUNTIF(LessorBase[AgreementCode],LessorBase[[#This Row],[AgreementCode]])</f>
        <v>0</v>
      </c>
      <c r="F22" s="87"/>
      <c r="G22" s="128">
        <f>COUNTIF(LessorBase[AgreementTitle],LessorBase[[#This Row],[AgreementTitle]])</f>
        <v>0</v>
      </c>
      <c r="H22" s="87"/>
      <c r="I22" s="87"/>
      <c r="J22" s="87"/>
      <c r="K22" s="87"/>
      <c r="L22" s="126"/>
      <c r="M22" s="126"/>
      <c r="N22" s="126"/>
      <c r="O22" s="126"/>
      <c r="P22" s="126"/>
      <c r="Q22" s="126"/>
      <c r="R22" s="126"/>
      <c r="S22" s="131">
        <f>LEN(LessorBase[[#This Row],[Comments]])</f>
        <v>0</v>
      </c>
      <c r="T22" s="127" t="str">
        <f>LessorBase[[#This Row],[Multi-
Record]]</f>
        <v>None</v>
      </c>
      <c r="U22" s="87">
        <f>LessorBase[[#This Row],[AgreementCode]]</f>
        <v>0</v>
      </c>
      <c r="V22" s="87" t="str">
        <f>LEFT(LessorBase[[#This Row],[AgreementTitle]],50)</f>
        <v/>
      </c>
      <c r="W22" s="128">
        <f>LessorBase[[#This Row],[AgreementType]]</f>
        <v>0</v>
      </c>
      <c r="X22" s="87"/>
      <c r="Y22" s="87" t="str">
        <f>IF(LessorBase[[#This Row],[Incl. Options
End Date]] = 0, IF(ROUND(ROUND((LessorBase[[#This Row],[Initial Period
End Date]]-LessorBase[[#This Row],[Initial Period
Start Date]])/365,2)*12,0)&lt;=12,"None","Transactional"), IF(ROUND(ROUND((LessorBase[[#This Row],[Incl. Options
End Date]]-LessorBase[[#This Row],[Initial Period
Start Date]])/365,2)*12,0)&lt;=12,"None","Transactional"))</f>
        <v>None</v>
      </c>
      <c r="Z22" s="128">
        <f>LessorBase[[#This Row],[ProvisionType]]</f>
        <v>0</v>
      </c>
      <c r="AA22" s="126"/>
      <c r="AB22" s="126">
        <f>IF(LessorBase[[#This Row],[Incl. Options
End Date]]&gt;0,LessorBase[[#This Row],[Incl. Options
End Date]],LessorBase[[#This Row],[Initial Period
End Date]])</f>
        <v>0</v>
      </c>
      <c r="AC22" s="129"/>
      <c r="AD22" s="87"/>
      <c r="AE22" s="87"/>
      <c r="AF22" s="130"/>
      <c r="AG22" s="126"/>
      <c r="AH22" s="126">
        <f>IF(LessorBase[[#This Row],[Incl. Options
End Date]]&gt;0,LessorBase[[#This Row],[Incl. Options
End Date]],LessorBase[[#This Row],[Initial Period
End Date]])</f>
        <v>0</v>
      </c>
      <c r="AI22" s="128" t="e" cm="1">
        <f t="array" ref="AI22">ROUND(ROUND((LessorBase[[#This Row],[Payment
EndDate]]-LessorBase[[#This Row],[Payment
StartDate]])/365,2)*_xlfn.IFS(LessorBase[[#This Row],[Payment
Frequency]]="MO",12,LessorBase[[#This Row],[Payment
Frequency]]="QT",4,LessorBase[[#This Row],[Payment
Frequency]]="SA",2,LessorBase[[#This Row],[Payment
Frequency]]="AN",1),0)</f>
        <v>#N/A</v>
      </c>
      <c r="AJ22" s="129" t="e">
        <f>ROUND(LessorBase[[#This Row],[Payment
Amount]]*LessorBase[[#This Row],[Number of
 Payments]],2)</f>
        <v>#N/A</v>
      </c>
      <c r="AK22" s="129" t="e">
        <f>IF(LessorBase[[#This Row],[Multi-
Record2]]="Multi-Amount", "calc on import", ROUND(PV(LessorBase[[#This Row],[Annual
Rate]]/IF(LessorBase[[#This Row],[Payment
Frequency]] = "MO",12,IF(LessorBase[[#This Row],[Payment
Frequency]] = "QT",4,IF(LessorBase[[#This Row],[Payment
Frequency]] = "SA",2,IF(LessorBase[[#This Row],[Payment
Frequency]] = "AN",1,0)))),LessorBase[[#This Row],[Number of
 Payments]],LessorBase[[#This Row],[Payment
Amount]],,IF(LessorBase[[#This Row],[Payment
Timing]]="Advance",1,IF(LessorBase[[#This Row],[Payment
Timing]]="Arrears",0,"x")))*-1,2))</f>
        <v>#DIV/0!</v>
      </c>
      <c r="AL22" s="129" t="e">
        <f>IF(LessorBase[[#This Row],[Multi-
Record2]]="Multi-Amount", "calc on import",LessorBase[[#This Row],[Total Amount
of Payments]]-LessorBase[[#This Row],[Present
Value]])</f>
        <v>#N/A</v>
      </c>
      <c r="AM22" s="129" t="e">
        <f>IF(LessorBase[[#This Row],[Multi-
Record2]]="Multi-Amount", "calc on import", LessorBase[[#This Row],[Present
Value]])</f>
        <v>#DIV/0!</v>
      </c>
      <c r="AN22" s="87" t="s">
        <v>295</v>
      </c>
      <c r="AO22" s="87"/>
      <c r="AP22" s="127"/>
      <c r="AQ22" s="87"/>
      <c r="AR22" s="87"/>
      <c r="AS22" s="87"/>
      <c r="AT22" s="87"/>
      <c r="AU22" s="87"/>
      <c r="AV22" s="87"/>
      <c r="AW22" s="87"/>
    </row>
    <row r="23" spans="1:49" x14ac:dyDescent="0.25">
      <c r="A23" s="87" t="s">
        <v>452</v>
      </c>
      <c r="B23" s="87">
        <f>'Agency Cover'!$B$3</f>
        <v>0</v>
      </c>
      <c r="C23" s="87"/>
      <c r="D23" s="87" t="s">
        <v>290</v>
      </c>
      <c r="E23" s="128">
        <f>COUNTIF(LessorBase[AgreementCode],LessorBase[[#This Row],[AgreementCode]])</f>
        <v>0</v>
      </c>
      <c r="F23" s="87"/>
      <c r="G23" s="128">
        <f>COUNTIF(LessorBase[AgreementTitle],LessorBase[[#This Row],[AgreementTitle]])</f>
        <v>0</v>
      </c>
      <c r="H23" s="87"/>
      <c r="I23" s="87"/>
      <c r="J23" s="87"/>
      <c r="K23" s="87"/>
      <c r="L23" s="126"/>
      <c r="M23" s="126"/>
      <c r="N23" s="126"/>
      <c r="O23" s="126"/>
      <c r="P23" s="126"/>
      <c r="Q23" s="126"/>
      <c r="R23" s="126"/>
      <c r="S23" s="131">
        <f>LEN(LessorBase[[#This Row],[Comments]])</f>
        <v>0</v>
      </c>
      <c r="T23" s="127" t="str">
        <f>LessorBase[[#This Row],[Multi-
Record]]</f>
        <v>None</v>
      </c>
      <c r="U23" s="87">
        <f>LessorBase[[#This Row],[AgreementCode]]</f>
        <v>0</v>
      </c>
      <c r="V23" s="87" t="str">
        <f>LEFT(LessorBase[[#This Row],[AgreementTitle]],50)</f>
        <v/>
      </c>
      <c r="W23" s="128">
        <f>LessorBase[[#This Row],[AgreementType]]</f>
        <v>0</v>
      </c>
      <c r="X23" s="87"/>
      <c r="Y23" s="87" t="str">
        <f>IF(LessorBase[[#This Row],[Incl. Options
End Date]] = 0, IF(ROUND(ROUND((LessorBase[[#This Row],[Initial Period
End Date]]-LessorBase[[#This Row],[Initial Period
Start Date]])/365,2)*12,0)&lt;=12,"None","Transactional"), IF(ROUND(ROUND((LessorBase[[#This Row],[Incl. Options
End Date]]-LessorBase[[#This Row],[Initial Period
Start Date]])/365,2)*12,0)&lt;=12,"None","Transactional"))</f>
        <v>None</v>
      </c>
      <c r="Z23" s="128">
        <f>LessorBase[[#This Row],[ProvisionType]]</f>
        <v>0</v>
      </c>
      <c r="AA23" s="126"/>
      <c r="AB23" s="126">
        <f>IF(LessorBase[[#This Row],[Incl. Options
End Date]]&gt;0,LessorBase[[#This Row],[Incl. Options
End Date]],LessorBase[[#This Row],[Initial Period
End Date]])</f>
        <v>0</v>
      </c>
      <c r="AC23" s="129"/>
      <c r="AD23" s="87"/>
      <c r="AE23" s="87"/>
      <c r="AF23" s="130"/>
      <c r="AG23" s="126"/>
      <c r="AH23" s="126">
        <f>IF(LessorBase[[#This Row],[Incl. Options
End Date]]&gt;0,LessorBase[[#This Row],[Incl. Options
End Date]],LessorBase[[#This Row],[Initial Period
End Date]])</f>
        <v>0</v>
      </c>
      <c r="AI23" s="128" t="e" cm="1">
        <f t="array" ref="AI23">ROUND(ROUND((LessorBase[[#This Row],[Payment
EndDate]]-LessorBase[[#This Row],[Payment
StartDate]])/365,2)*_xlfn.IFS(LessorBase[[#This Row],[Payment
Frequency]]="MO",12,LessorBase[[#This Row],[Payment
Frequency]]="QT",4,LessorBase[[#This Row],[Payment
Frequency]]="SA",2,LessorBase[[#This Row],[Payment
Frequency]]="AN",1),0)</f>
        <v>#N/A</v>
      </c>
      <c r="AJ23" s="129" t="e">
        <f>ROUND(LessorBase[[#This Row],[Payment
Amount]]*LessorBase[[#This Row],[Number of
 Payments]],2)</f>
        <v>#N/A</v>
      </c>
      <c r="AK23" s="129" t="e">
        <f>IF(LessorBase[[#This Row],[Multi-
Record2]]="Multi-Amount", "calc on import", ROUND(PV(LessorBase[[#This Row],[Annual
Rate]]/IF(LessorBase[[#This Row],[Payment
Frequency]] = "MO",12,IF(LessorBase[[#This Row],[Payment
Frequency]] = "QT",4,IF(LessorBase[[#This Row],[Payment
Frequency]] = "SA",2,IF(LessorBase[[#This Row],[Payment
Frequency]] = "AN",1,0)))),LessorBase[[#This Row],[Number of
 Payments]],LessorBase[[#This Row],[Payment
Amount]],,IF(LessorBase[[#This Row],[Payment
Timing]]="Advance",1,IF(LessorBase[[#This Row],[Payment
Timing]]="Arrears",0,"x")))*-1,2))</f>
        <v>#DIV/0!</v>
      </c>
      <c r="AL23" s="129" t="e">
        <f>IF(LessorBase[[#This Row],[Multi-
Record2]]="Multi-Amount", "calc on import",LessorBase[[#This Row],[Total Amount
of Payments]]-LessorBase[[#This Row],[Present
Value]])</f>
        <v>#N/A</v>
      </c>
      <c r="AM23" s="129" t="e">
        <f>IF(LessorBase[[#This Row],[Multi-
Record2]]="Multi-Amount", "calc on import", LessorBase[[#This Row],[Present
Value]])</f>
        <v>#DIV/0!</v>
      </c>
      <c r="AN23" s="87" t="s">
        <v>295</v>
      </c>
      <c r="AO23" s="87"/>
      <c r="AP23" s="127"/>
      <c r="AQ23" s="87"/>
      <c r="AR23" s="87"/>
      <c r="AS23" s="87"/>
      <c r="AT23" s="87"/>
      <c r="AU23" s="87"/>
      <c r="AV23" s="87"/>
      <c r="AW23" s="87"/>
    </row>
    <row r="24" spans="1:49" x14ac:dyDescent="0.25">
      <c r="A24" s="87" t="s">
        <v>452</v>
      </c>
      <c r="B24" s="87">
        <f>'Agency Cover'!$B$3</f>
        <v>0</v>
      </c>
      <c r="C24" s="87"/>
      <c r="D24" s="87" t="s">
        <v>290</v>
      </c>
      <c r="E24" s="128">
        <f>COUNTIF(LessorBase[AgreementCode],LessorBase[[#This Row],[AgreementCode]])</f>
        <v>0</v>
      </c>
      <c r="F24" s="87"/>
      <c r="G24" s="128">
        <f>COUNTIF(LessorBase[AgreementTitle],LessorBase[[#This Row],[AgreementTitle]])</f>
        <v>0</v>
      </c>
      <c r="H24" s="87"/>
      <c r="I24" s="87"/>
      <c r="J24" s="87"/>
      <c r="K24" s="87"/>
      <c r="L24" s="126"/>
      <c r="M24" s="126"/>
      <c r="N24" s="126"/>
      <c r="O24" s="126"/>
      <c r="P24" s="126"/>
      <c r="Q24" s="126"/>
      <c r="R24" s="126"/>
      <c r="S24" s="131">
        <f>LEN(LessorBase[[#This Row],[Comments]])</f>
        <v>0</v>
      </c>
      <c r="T24" s="127" t="str">
        <f>LessorBase[[#This Row],[Multi-
Record]]</f>
        <v>None</v>
      </c>
      <c r="U24" s="87">
        <f>LessorBase[[#This Row],[AgreementCode]]</f>
        <v>0</v>
      </c>
      <c r="V24" s="87" t="str">
        <f>LEFT(LessorBase[[#This Row],[AgreementTitle]],50)</f>
        <v/>
      </c>
      <c r="W24" s="128">
        <f>LessorBase[[#This Row],[AgreementType]]</f>
        <v>0</v>
      </c>
      <c r="X24" s="87"/>
      <c r="Y24" s="87" t="str">
        <f>IF(LessorBase[[#This Row],[Incl. Options
End Date]] = 0, IF(ROUND(ROUND((LessorBase[[#This Row],[Initial Period
End Date]]-LessorBase[[#This Row],[Initial Period
Start Date]])/365,2)*12,0)&lt;=12,"None","Transactional"), IF(ROUND(ROUND((LessorBase[[#This Row],[Incl. Options
End Date]]-LessorBase[[#This Row],[Initial Period
Start Date]])/365,2)*12,0)&lt;=12,"None","Transactional"))</f>
        <v>None</v>
      </c>
      <c r="Z24" s="128">
        <f>LessorBase[[#This Row],[ProvisionType]]</f>
        <v>0</v>
      </c>
      <c r="AA24" s="126"/>
      <c r="AB24" s="126">
        <f>IF(LessorBase[[#This Row],[Incl. Options
End Date]]&gt;0,LessorBase[[#This Row],[Incl. Options
End Date]],LessorBase[[#This Row],[Initial Period
End Date]])</f>
        <v>0</v>
      </c>
      <c r="AC24" s="129"/>
      <c r="AD24" s="87"/>
      <c r="AE24" s="87"/>
      <c r="AF24" s="130"/>
      <c r="AG24" s="126"/>
      <c r="AH24" s="126">
        <f>IF(LessorBase[[#This Row],[Incl. Options
End Date]]&gt;0,LessorBase[[#This Row],[Incl. Options
End Date]],LessorBase[[#This Row],[Initial Period
End Date]])</f>
        <v>0</v>
      </c>
      <c r="AI24" s="128" t="e" cm="1">
        <f t="array" ref="AI24">ROUND(ROUND((LessorBase[[#This Row],[Payment
EndDate]]-LessorBase[[#This Row],[Payment
StartDate]])/365,2)*_xlfn.IFS(LessorBase[[#This Row],[Payment
Frequency]]="MO",12,LessorBase[[#This Row],[Payment
Frequency]]="QT",4,LessorBase[[#This Row],[Payment
Frequency]]="SA",2,LessorBase[[#This Row],[Payment
Frequency]]="AN",1),0)</f>
        <v>#N/A</v>
      </c>
      <c r="AJ24" s="129" t="e">
        <f>ROUND(LessorBase[[#This Row],[Payment
Amount]]*LessorBase[[#This Row],[Number of
 Payments]],2)</f>
        <v>#N/A</v>
      </c>
      <c r="AK24" s="129" t="e">
        <f>IF(LessorBase[[#This Row],[Multi-
Record2]]="Multi-Amount", "calc on import", ROUND(PV(LessorBase[[#This Row],[Annual
Rate]]/IF(LessorBase[[#This Row],[Payment
Frequency]] = "MO",12,IF(LessorBase[[#This Row],[Payment
Frequency]] = "QT",4,IF(LessorBase[[#This Row],[Payment
Frequency]] = "SA",2,IF(LessorBase[[#This Row],[Payment
Frequency]] = "AN",1,0)))),LessorBase[[#This Row],[Number of
 Payments]],LessorBase[[#This Row],[Payment
Amount]],,IF(LessorBase[[#This Row],[Payment
Timing]]="Advance",1,IF(LessorBase[[#This Row],[Payment
Timing]]="Arrears",0,"x")))*-1,2))</f>
        <v>#DIV/0!</v>
      </c>
      <c r="AL24" s="129" t="e">
        <f>IF(LessorBase[[#This Row],[Multi-
Record2]]="Multi-Amount", "calc on import",LessorBase[[#This Row],[Total Amount
of Payments]]-LessorBase[[#This Row],[Present
Value]])</f>
        <v>#N/A</v>
      </c>
      <c r="AM24" s="129" t="e">
        <f>IF(LessorBase[[#This Row],[Multi-
Record2]]="Multi-Amount", "calc on import", LessorBase[[#This Row],[Present
Value]])</f>
        <v>#DIV/0!</v>
      </c>
      <c r="AN24" s="87" t="s">
        <v>295</v>
      </c>
      <c r="AO24" s="87"/>
      <c r="AP24" s="127"/>
      <c r="AQ24" s="87"/>
      <c r="AR24" s="87"/>
      <c r="AS24" s="87"/>
      <c r="AT24" s="87"/>
      <c r="AU24" s="87"/>
      <c r="AV24" s="87"/>
      <c r="AW24" s="87"/>
    </row>
    <row r="25" spans="1:49" x14ac:dyDescent="0.25">
      <c r="A25" s="87" t="s">
        <v>452</v>
      </c>
      <c r="B25" s="87">
        <f>'Agency Cover'!$B$3</f>
        <v>0</v>
      </c>
      <c r="C25" s="87"/>
      <c r="D25" s="87" t="s">
        <v>290</v>
      </c>
      <c r="E25" s="128">
        <f>COUNTIF(LessorBase[AgreementCode],LessorBase[[#This Row],[AgreementCode]])</f>
        <v>0</v>
      </c>
      <c r="F25" s="87"/>
      <c r="G25" s="128">
        <f>COUNTIF(LessorBase[AgreementTitle],LessorBase[[#This Row],[AgreementTitle]])</f>
        <v>0</v>
      </c>
      <c r="H25" s="87"/>
      <c r="I25" s="87"/>
      <c r="J25" s="87"/>
      <c r="K25" s="87"/>
      <c r="L25" s="126"/>
      <c r="M25" s="126"/>
      <c r="N25" s="126"/>
      <c r="O25" s="126"/>
      <c r="P25" s="126"/>
      <c r="Q25" s="126"/>
      <c r="R25" s="126"/>
      <c r="S25" s="131">
        <f>LEN(LessorBase[[#This Row],[Comments]])</f>
        <v>0</v>
      </c>
      <c r="T25" s="127" t="str">
        <f>LessorBase[[#This Row],[Multi-
Record]]</f>
        <v>None</v>
      </c>
      <c r="U25" s="87">
        <f>LessorBase[[#This Row],[AgreementCode]]</f>
        <v>0</v>
      </c>
      <c r="V25" s="87" t="str">
        <f>LEFT(LessorBase[[#This Row],[AgreementTitle]],50)</f>
        <v/>
      </c>
      <c r="W25" s="128">
        <f>LessorBase[[#This Row],[AgreementType]]</f>
        <v>0</v>
      </c>
      <c r="X25" s="87"/>
      <c r="Y25" s="87" t="str">
        <f>IF(LessorBase[[#This Row],[Incl. Options
End Date]] = 0, IF(ROUND(ROUND((LessorBase[[#This Row],[Initial Period
End Date]]-LessorBase[[#This Row],[Initial Period
Start Date]])/365,2)*12,0)&lt;=12,"None","Transactional"), IF(ROUND(ROUND((LessorBase[[#This Row],[Incl. Options
End Date]]-LessorBase[[#This Row],[Initial Period
Start Date]])/365,2)*12,0)&lt;=12,"None","Transactional"))</f>
        <v>None</v>
      </c>
      <c r="Z25" s="128">
        <f>LessorBase[[#This Row],[ProvisionType]]</f>
        <v>0</v>
      </c>
      <c r="AA25" s="126"/>
      <c r="AB25" s="126">
        <f>IF(LessorBase[[#This Row],[Incl. Options
End Date]]&gt;0,LessorBase[[#This Row],[Incl. Options
End Date]],LessorBase[[#This Row],[Initial Period
End Date]])</f>
        <v>0</v>
      </c>
      <c r="AC25" s="129"/>
      <c r="AD25" s="87"/>
      <c r="AE25" s="87"/>
      <c r="AF25" s="130"/>
      <c r="AG25" s="126"/>
      <c r="AH25" s="126">
        <f>IF(LessorBase[[#This Row],[Incl. Options
End Date]]&gt;0,LessorBase[[#This Row],[Incl. Options
End Date]],LessorBase[[#This Row],[Initial Period
End Date]])</f>
        <v>0</v>
      </c>
      <c r="AI25" s="128" t="e" cm="1">
        <f t="array" ref="AI25">ROUND(ROUND((LessorBase[[#This Row],[Payment
EndDate]]-LessorBase[[#This Row],[Payment
StartDate]])/365,2)*_xlfn.IFS(LessorBase[[#This Row],[Payment
Frequency]]="MO",12,LessorBase[[#This Row],[Payment
Frequency]]="QT",4,LessorBase[[#This Row],[Payment
Frequency]]="SA",2,LessorBase[[#This Row],[Payment
Frequency]]="AN",1),0)</f>
        <v>#N/A</v>
      </c>
      <c r="AJ25" s="129" t="e">
        <f>ROUND(LessorBase[[#This Row],[Payment
Amount]]*LessorBase[[#This Row],[Number of
 Payments]],2)</f>
        <v>#N/A</v>
      </c>
      <c r="AK25" s="129" t="e">
        <f>IF(LessorBase[[#This Row],[Multi-
Record2]]="Multi-Amount", "calc on import", ROUND(PV(LessorBase[[#This Row],[Annual
Rate]]/IF(LessorBase[[#This Row],[Payment
Frequency]] = "MO",12,IF(LessorBase[[#This Row],[Payment
Frequency]] = "QT",4,IF(LessorBase[[#This Row],[Payment
Frequency]] = "SA",2,IF(LessorBase[[#This Row],[Payment
Frequency]] = "AN",1,0)))),LessorBase[[#This Row],[Number of
 Payments]],LessorBase[[#This Row],[Payment
Amount]],,IF(LessorBase[[#This Row],[Payment
Timing]]="Advance",1,IF(LessorBase[[#This Row],[Payment
Timing]]="Arrears",0,"x")))*-1,2))</f>
        <v>#DIV/0!</v>
      </c>
      <c r="AL25" s="129" t="e">
        <f>IF(LessorBase[[#This Row],[Multi-
Record2]]="Multi-Amount", "calc on import",LessorBase[[#This Row],[Total Amount
of Payments]]-LessorBase[[#This Row],[Present
Value]])</f>
        <v>#N/A</v>
      </c>
      <c r="AM25" s="129" t="e">
        <f>IF(LessorBase[[#This Row],[Multi-
Record2]]="Multi-Amount", "calc on import", LessorBase[[#This Row],[Present
Value]])</f>
        <v>#DIV/0!</v>
      </c>
      <c r="AN25" s="87" t="s">
        <v>295</v>
      </c>
      <c r="AO25" s="87"/>
      <c r="AP25" s="127"/>
      <c r="AQ25" s="87"/>
      <c r="AR25" s="87"/>
      <c r="AS25" s="87"/>
      <c r="AT25" s="87"/>
      <c r="AU25" s="87"/>
      <c r="AV25" s="87"/>
      <c r="AW25" s="87"/>
    </row>
    <row r="26" spans="1:49" x14ac:dyDescent="0.25">
      <c r="A26" s="87" t="s">
        <v>452</v>
      </c>
      <c r="B26" s="87">
        <f>'Agency Cover'!$B$3</f>
        <v>0</v>
      </c>
      <c r="C26" s="87"/>
      <c r="D26" s="87" t="s">
        <v>290</v>
      </c>
      <c r="E26" s="128">
        <f>COUNTIF(LessorBase[AgreementCode],LessorBase[[#This Row],[AgreementCode]])</f>
        <v>0</v>
      </c>
      <c r="F26" s="87"/>
      <c r="G26" s="128">
        <f>COUNTIF(LessorBase[AgreementTitle],LessorBase[[#This Row],[AgreementTitle]])</f>
        <v>0</v>
      </c>
      <c r="H26" s="87"/>
      <c r="I26" s="87"/>
      <c r="J26" s="87"/>
      <c r="K26" s="87"/>
      <c r="L26" s="126"/>
      <c r="M26" s="126"/>
      <c r="N26" s="126"/>
      <c r="O26" s="126"/>
      <c r="P26" s="126"/>
      <c r="Q26" s="126"/>
      <c r="R26" s="126"/>
      <c r="S26" s="131">
        <f>LEN(LessorBase[[#This Row],[Comments]])</f>
        <v>0</v>
      </c>
      <c r="T26" s="127" t="str">
        <f>LessorBase[[#This Row],[Multi-
Record]]</f>
        <v>None</v>
      </c>
      <c r="U26" s="87">
        <f>LessorBase[[#This Row],[AgreementCode]]</f>
        <v>0</v>
      </c>
      <c r="V26" s="87" t="str">
        <f>LEFT(LessorBase[[#This Row],[AgreementTitle]],50)</f>
        <v/>
      </c>
      <c r="W26" s="128">
        <f>LessorBase[[#This Row],[AgreementType]]</f>
        <v>0</v>
      </c>
      <c r="X26" s="87"/>
      <c r="Y26" s="87" t="str">
        <f>IF(LessorBase[[#This Row],[Incl. Options
End Date]] = 0, IF(ROUND(ROUND((LessorBase[[#This Row],[Initial Period
End Date]]-LessorBase[[#This Row],[Initial Period
Start Date]])/365,2)*12,0)&lt;=12,"None","Transactional"), IF(ROUND(ROUND((LessorBase[[#This Row],[Incl. Options
End Date]]-LessorBase[[#This Row],[Initial Period
Start Date]])/365,2)*12,0)&lt;=12,"None","Transactional"))</f>
        <v>None</v>
      </c>
      <c r="Z26" s="128">
        <f>LessorBase[[#This Row],[ProvisionType]]</f>
        <v>0</v>
      </c>
      <c r="AA26" s="126"/>
      <c r="AB26" s="126">
        <f>IF(LessorBase[[#This Row],[Incl. Options
End Date]]&gt;0,LessorBase[[#This Row],[Incl. Options
End Date]],LessorBase[[#This Row],[Initial Period
End Date]])</f>
        <v>0</v>
      </c>
      <c r="AC26" s="129"/>
      <c r="AD26" s="87"/>
      <c r="AE26" s="87"/>
      <c r="AF26" s="130"/>
      <c r="AG26" s="126"/>
      <c r="AH26" s="126">
        <f>IF(LessorBase[[#This Row],[Incl. Options
End Date]]&gt;0,LessorBase[[#This Row],[Incl. Options
End Date]],LessorBase[[#This Row],[Initial Period
End Date]])</f>
        <v>0</v>
      </c>
      <c r="AI26" s="128" t="e" cm="1">
        <f t="array" ref="AI26">ROUND(ROUND((LessorBase[[#This Row],[Payment
EndDate]]-LessorBase[[#This Row],[Payment
StartDate]])/365,2)*_xlfn.IFS(LessorBase[[#This Row],[Payment
Frequency]]="MO",12,LessorBase[[#This Row],[Payment
Frequency]]="QT",4,LessorBase[[#This Row],[Payment
Frequency]]="SA",2,LessorBase[[#This Row],[Payment
Frequency]]="AN",1),0)</f>
        <v>#N/A</v>
      </c>
      <c r="AJ26" s="129" t="e">
        <f>ROUND(LessorBase[[#This Row],[Payment
Amount]]*LessorBase[[#This Row],[Number of
 Payments]],2)</f>
        <v>#N/A</v>
      </c>
      <c r="AK26" s="129" t="e">
        <f>IF(LessorBase[[#This Row],[Multi-
Record2]]="Multi-Amount", "calc on import", ROUND(PV(LessorBase[[#This Row],[Annual
Rate]]/IF(LessorBase[[#This Row],[Payment
Frequency]] = "MO",12,IF(LessorBase[[#This Row],[Payment
Frequency]] = "QT",4,IF(LessorBase[[#This Row],[Payment
Frequency]] = "SA",2,IF(LessorBase[[#This Row],[Payment
Frequency]] = "AN",1,0)))),LessorBase[[#This Row],[Number of
 Payments]],LessorBase[[#This Row],[Payment
Amount]],,IF(LessorBase[[#This Row],[Payment
Timing]]="Advance",1,IF(LessorBase[[#This Row],[Payment
Timing]]="Arrears",0,"x")))*-1,2))</f>
        <v>#DIV/0!</v>
      </c>
      <c r="AL26" s="129" t="e">
        <f>IF(LessorBase[[#This Row],[Multi-
Record2]]="Multi-Amount", "calc on import",LessorBase[[#This Row],[Total Amount
of Payments]]-LessorBase[[#This Row],[Present
Value]])</f>
        <v>#N/A</v>
      </c>
      <c r="AM26" s="129" t="e">
        <f>IF(LessorBase[[#This Row],[Multi-
Record2]]="Multi-Amount", "calc on import", LessorBase[[#This Row],[Present
Value]])</f>
        <v>#DIV/0!</v>
      </c>
      <c r="AN26" s="87" t="s">
        <v>295</v>
      </c>
      <c r="AO26" s="87"/>
      <c r="AP26" s="127"/>
      <c r="AQ26" s="87"/>
      <c r="AR26" s="87"/>
      <c r="AS26" s="87"/>
      <c r="AT26" s="87"/>
      <c r="AU26" s="87"/>
      <c r="AV26" s="87"/>
      <c r="AW26" s="87"/>
    </row>
    <row r="27" spans="1:49" x14ac:dyDescent="0.25">
      <c r="A27" s="87" t="s">
        <v>452</v>
      </c>
      <c r="B27" s="87">
        <f>'Agency Cover'!$B$3</f>
        <v>0</v>
      </c>
      <c r="C27" s="87"/>
      <c r="D27" s="87" t="s">
        <v>290</v>
      </c>
      <c r="E27" s="128">
        <f>COUNTIF(LessorBase[AgreementCode],LessorBase[[#This Row],[AgreementCode]])</f>
        <v>0</v>
      </c>
      <c r="F27" s="87"/>
      <c r="G27" s="128">
        <f>COUNTIF(LessorBase[AgreementTitle],LessorBase[[#This Row],[AgreementTitle]])</f>
        <v>0</v>
      </c>
      <c r="H27" s="87"/>
      <c r="I27" s="87"/>
      <c r="J27" s="87"/>
      <c r="K27" s="87"/>
      <c r="L27" s="126"/>
      <c r="M27" s="126"/>
      <c r="N27" s="126"/>
      <c r="O27" s="126"/>
      <c r="P27" s="126"/>
      <c r="Q27" s="126"/>
      <c r="R27" s="126"/>
      <c r="S27" s="131">
        <f>LEN(LessorBase[[#This Row],[Comments]])</f>
        <v>0</v>
      </c>
      <c r="T27" s="127" t="str">
        <f>LessorBase[[#This Row],[Multi-
Record]]</f>
        <v>None</v>
      </c>
      <c r="U27" s="87">
        <f>LessorBase[[#This Row],[AgreementCode]]</f>
        <v>0</v>
      </c>
      <c r="V27" s="87" t="str">
        <f>LEFT(LessorBase[[#This Row],[AgreementTitle]],50)</f>
        <v/>
      </c>
      <c r="W27" s="128">
        <f>LessorBase[[#This Row],[AgreementType]]</f>
        <v>0</v>
      </c>
      <c r="X27" s="87"/>
      <c r="Y27" s="87" t="str">
        <f>IF(LessorBase[[#This Row],[Incl. Options
End Date]] = 0, IF(ROUND(ROUND((LessorBase[[#This Row],[Initial Period
End Date]]-LessorBase[[#This Row],[Initial Period
Start Date]])/365,2)*12,0)&lt;=12,"None","Transactional"), IF(ROUND(ROUND((LessorBase[[#This Row],[Incl. Options
End Date]]-LessorBase[[#This Row],[Initial Period
Start Date]])/365,2)*12,0)&lt;=12,"None","Transactional"))</f>
        <v>None</v>
      </c>
      <c r="Z27" s="128">
        <f>LessorBase[[#This Row],[ProvisionType]]</f>
        <v>0</v>
      </c>
      <c r="AA27" s="126"/>
      <c r="AB27" s="126">
        <f>IF(LessorBase[[#This Row],[Incl. Options
End Date]]&gt;0,LessorBase[[#This Row],[Incl. Options
End Date]],LessorBase[[#This Row],[Initial Period
End Date]])</f>
        <v>0</v>
      </c>
      <c r="AC27" s="129"/>
      <c r="AD27" s="87"/>
      <c r="AE27" s="87"/>
      <c r="AF27" s="130"/>
      <c r="AG27" s="126"/>
      <c r="AH27" s="126">
        <f>IF(LessorBase[[#This Row],[Incl. Options
End Date]]&gt;0,LessorBase[[#This Row],[Incl. Options
End Date]],LessorBase[[#This Row],[Initial Period
End Date]])</f>
        <v>0</v>
      </c>
      <c r="AI27" s="128" t="e" cm="1">
        <f t="array" ref="AI27">ROUND(ROUND((LessorBase[[#This Row],[Payment
EndDate]]-LessorBase[[#This Row],[Payment
StartDate]])/365,2)*_xlfn.IFS(LessorBase[[#This Row],[Payment
Frequency]]="MO",12,LessorBase[[#This Row],[Payment
Frequency]]="QT",4,LessorBase[[#This Row],[Payment
Frequency]]="SA",2,LessorBase[[#This Row],[Payment
Frequency]]="AN",1),0)</f>
        <v>#N/A</v>
      </c>
      <c r="AJ27" s="129" t="e">
        <f>ROUND(LessorBase[[#This Row],[Payment
Amount]]*LessorBase[[#This Row],[Number of
 Payments]],2)</f>
        <v>#N/A</v>
      </c>
      <c r="AK27" s="129" t="e">
        <f>IF(LessorBase[[#This Row],[Multi-
Record2]]="Multi-Amount", "calc on import", ROUND(PV(LessorBase[[#This Row],[Annual
Rate]]/IF(LessorBase[[#This Row],[Payment
Frequency]] = "MO",12,IF(LessorBase[[#This Row],[Payment
Frequency]] = "QT",4,IF(LessorBase[[#This Row],[Payment
Frequency]] = "SA",2,IF(LessorBase[[#This Row],[Payment
Frequency]] = "AN",1,0)))),LessorBase[[#This Row],[Number of
 Payments]],LessorBase[[#This Row],[Payment
Amount]],,IF(LessorBase[[#This Row],[Payment
Timing]]="Advance",1,IF(LessorBase[[#This Row],[Payment
Timing]]="Arrears",0,"x")))*-1,2))</f>
        <v>#DIV/0!</v>
      </c>
      <c r="AL27" s="129" t="e">
        <f>IF(LessorBase[[#This Row],[Multi-
Record2]]="Multi-Amount", "calc on import",LessorBase[[#This Row],[Total Amount
of Payments]]-LessorBase[[#This Row],[Present
Value]])</f>
        <v>#N/A</v>
      </c>
      <c r="AM27" s="129" t="e">
        <f>IF(LessorBase[[#This Row],[Multi-
Record2]]="Multi-Amount", "calc on import", LessorBase[[#This Row],[Present
Value]])</f>
        <v>#DIV/0!</v>
      </c>
      <c r="AN27" s="87" t="s">
        <v>295</v>
      </c>
      <c r="AO27" s="87"/>
      <c r="AP27" s="127"/>
      <c r="AQ27" s="87"/>
      <c r="AR27" s="87"/>
      <c r="AS27" s="87"/>
      <c r="AT27" s="87"/>
      <c r="AU27" s="87"/>
      <c r="AV27" s="87"/>
      <c r="AW27" s="87"/>
    </row>
    <row r="28" spans="1:49" x14ac:dyDescent="0.25">
      <c r="A28" s="87" t="s">
        <v>452</v>
      </c>
      <c r="B28" s="87">
        <f>'Agency Cover'!$B$3</f>
        <v>0</v>
      </c>
      <c r="C28" s="87"/>
      <c r="D28" s="87" t="s">
        <v>290</v>
      </c>
      <c r="E28" s="128">
        <f>COUNTIF(LessorBase[AgreementCode],LessorBase[[#This Row],[AgreementCode]])</f>
        <v>0</v>
      </c>
      <c r="F28" s="87"/>
      <c r="G28" s="128">
        <f>COUNTIF(LessorBase[AgreementTitle],LessorBase[[#This Row],[AgreementTitle]])</f>
        <v>0</v>
      </c>
      <c r="H28" s="87"/>
      <c r="I28" s="87"/>
      <c r="J28" s="87"/>
      <c r="K28" s="87"/>
      <c r="L28" s="126"/>
      <c r="M28" s="126"/>
      <c r="N28" s="126"/>
      <c r="O28" s="126"/>
      <c r="P28" s="126"/>
      <c r="Q28" s="126"/>
      <c r="R28" s="126"/>
      <c r="S28" s="131">
        <f>LEN(LessorBase[[#This Row],[Comments]])</f>
        <v>0</v>
      </c>
      <c r="T28" s="127" t="str">
        <f>LessorBase[[#This Row],[Multi-
Record]]</f>
        <v>None</v>
      </c>
      <c r="U28" s="87">
        <f>LessorBase[[#This Row],[AgreementCode]]</f>
        <v>0</v>
      </c>
      <c r="V28" s="87" t="str">
        <f>LEFT(LessorBase[[#This Row],[AgreementTitle]],50)</f>
        <v/>
      </c>
      <c r="W28" s="128">
        <f>LessorBase[[#This Row],[AgreementType]]</f>
        <v>0</v>
      </c>
      <c r="X28" s="87"/>
      <c r="Y28" s="87" t="str">
        <f>IF(LessorBase[[#This Row],[Incl. Options
End Date]] = 0, IF(ROUND(ROUND((LessorBase[[#This Row],[Initial Period
End Date]]-LessorBase[[#This Row],[Initial Period
Start Date]])/365,2)*12,0)&lt;=12,"None","Transactional"), IF(ROUND(ROUND((LessorBase[[#This Row],[Incl. Options
End Date]]-LessorBase[[#This Row],[Initial Period
Start Date]])/365,2)*12,0)&lt;=12,"None","Transactional"))</f>
        <v>None</v>
      </c>
      <c r="Z28" s="128">
        <f>LessorBase[[#This Row],[ProvisionType]]</f>
        <v>0</v>
      </c>
      <c r="AA28" s="126"/>
      <c r="AB28" s="126">
        <f>IF(LessorBase[[#This Row],[Incl. Options
End Date]]&gt;0,LessorBase[[#This Row],[Incl. Options
End Date]],LessorBase[[#This Row],[Initial Period
End Date]])</f>
        <v>0</v>
      </c>
      <c r="AC28" s="129"/>
      <c r="AD28" s="87"/>
      <c r="AE28" s="87"/>
      <c r="AF28" s="130"/>
      <c r="AG28" s="126"/>
      <c r="AH28" s="126">
        <f>IF(LessorBase[[#This Row],[Incl. Options
End Date]]&gt;0,LessorBase[[#This Row],[Incl. Options
End Date]],LessorBase[[#This Row],[Initial Period
End Date]])</f>
        <v>0</v>
      </c>
      <c r="AI28" s="128" t="e" cm="1">
        <f t="array" ref="AI28">ROUND(ROUND((LessorBase[[#This Row],[Payment
EndDate]]-LessorBase[[#This Row],[Payment
StartDate]])/365,2)*_xlfn.IFS(LessorBase[[#This Row],[Payment
Frequency]]="MO",12,LessorBase[[#This Row],[Payment
Frequency]]="QT",4,LessorBase[[#This Row],[Payment
Frequency]]="SA",2,LessorBase[[#This Row],[Payment
Frequency]]="AN",1),0)</f>
        <v>#N/A</v>
      </c>
      <c r="AJ28" s="129" t="e">
        <f>ROUND(LessorBase[[#This Row],[Payment
Amount]]*LessorBase[[#This Row],[Number of
 Payments]],2)</f>
        <v>#N/A</v>
      </c>
      <c r="AK28" s="129" t="e">
        <f>IF(LessorBase[[#This Row],[Multi-
Record2]]="Multi-Amount", "calc on import", ROUND(PV(LessorBase[[#This Row],[Annual
Rate]]/IF(LessorBase[[#This Row],[Payment
Frequency]] = "MO",12,IF(LessorBase[[#This Row],[Payment
Frequency]] = "QT",4,IF(LessorBase[[#This Row],[Payment
Frequency]] = "SA",2,IF(LessorBase[[#This Row],[Payment
Frequency]] = "AN",1,0)))),LessorBase[[#This Row],[Number of
 Payments]],LessorBase[[#This Row],[Payment
Amount]],,IF(LessorBase[[#This Row],[Payment
Timing]]="Advance",1,IF(LessorBase[[#This Row],[Payment
Timing]]="Arrears",0,"x")))*-1,2))</f>
        <v>#DIV/0!</v>
      </c>
      <c r="AL28" s="129" t="e">
        <f>IF(LessorBase[[#This Row],[Multi-
Record2]]="Multi-Amount", "calc on import",LessorBase[[#This Row],[Total Amount
of Payments]]-LessorBase[[#This Row],[Present
Value]])</f>
        <v>#N/A</v>
      </c>
      <c r="AM28" s="129" t="e">
        <f>IF(LessorBase[[#This Row],[Multi-
Record2]]="Multi-Amount", "calc on import", LessorBase[[#This Row],[Present
Value]])</f>
        <v>#DIV/0!</v>
      </c>
      <c r="AN28" s="87" t="s">
        <v>295</v>
      </c>
      <c r="AO28" s="87"/>
      <c r="AP28" s="127"/>
      <c r="AQ28" s="87"/>
      <c r="AR28" s="87"/>
      <c r="AS28" s="87"/>
      <c r="AT28" s="87"/>
      <c r="AU28" s="87"/>
      <c r="AV28" s="87"/>
      <c r="AW28" s="87"/>
    </row>
    <row r="29" spans="1:49" x14ac:dyDescent="0.25">
      <c r="A29" s="87" t="s">
        <v>452</v>
      </c>
      <c r="B29" s="87">
        <f>'Agency Cover'!$B$3</f>
        <v>0</v>
      </c>
      <c r="C29" s="87"/>
      <c r="D29" s="87" t="s">
        <v>290</v>
      </c>
      <c r="E29" s="128">
        <f>COUNTIF(LessorBase[AgreementCode],LessorBase[[#This Row],[AgreementCode]])</f>
        <v>0</v>
      </c>
      <c r="F29" s="87"/>
      <c r="G29" s="128">
        <f>COUNTIF(LessorBase[AgreementTitle],LessorBase[[#This Row],[AgreementTitle]])</f>
        <v>0</v>
      </c>
      <c r="H29" s="87"/>
      <c r="I29" s="87"/>
      <c r="J29" s="87"/>
      <c r="K29" s="87"/>
      <c r="L29" s="126"/>
      <c r="M29" s="126"/>
      <c r="N29" s="126"/>
      <c r="O29" s="126"/>
      <c r="P29" s="126"/>
      <c r="Q29" s="126"/>
      <c r="R29" s="126"/>
      <c r="S29" s="131">
        <f>LEN(LessorBase[[#This Row],[Comments]])</f>
        <v>0</v>
      </c>
      <c r="T29" s="127" t="str">
        <f>LessorBase[[#This Row],[Multi-
Record]]</f>
        <v>None</v>
      </c>
      <c r="U29" s="87">
        <f>LessorBase[[#This Row],[AgreementCode]]</f>
        <v>0</v>
      </c>
      <c r="V29" s="87" t="str">
        <f>LEFT(LessorBase[[#This Row],[AgreementTitle]],50)</f>
        <v/>
      </c>
      <c r="W29" s="128">
        <f>LessorBase[[#This Row],[AgreementType]]</f>
        <v>0</v>
      </c>
      <c r="X29" s="87"/>
      <c r="Y29" s="87" t="str">
        <f>IF(LessorBase[[#This Row],[Incl. Options
End Date]] = 0, IF(ROUND(ROUND((LessorBase[[#This Row],[Initial Period
End Date]]-LessorBase[[#This Row],[Initial Period
Start Date]])/365,2)*12,0)&lt;=12,"None","Transactional"), IF(ROUND(ROUND((LessorBase[[#This Row],[Incl. Options
End Date]]-LessorBase[[#This Row],[Initial Period
Start Date]])/365,2)*12,0)&lt;=12,"None","Transactional"))</f>
        <v>None</v>
      </c>
      <c r="Z29" s="128">
        <f>LessorBase[[#This Row],[ProvisionType]]</f>
        <v>0</v>
      </c>
      <c r="AA29" s="126"/>
      <c r="AB29" s="126">
        <f>IF(LessorBase[[#This Row],[Incl. Options
End Date]]&gt;0,LessorBase[[#This Row],[Incl. Options
End Date]],LessorBase[[#This Row],[Initial Period
End Date]])</f>
        <v>0</v>
      </c>
      <c r="AC29" s="129"/>
      <c r="AD29" s="87"/>
      <c r="AE29" s="87"/>
      <c r="AF29" s="130"/>
      <c r="AG29" s="126"/>
      <c r="AH29" s="126">
        <f>IF(LessorBase[[#This Row],[Incl. Options
End Date]]&gt;0,LessorBase[[#This Row],[Incl. Options
End Date]],LessorBase[[#This Row],[Initial Period
End Date]])</f>
        <v>0</v>
      </c>
      <c r="AI29" s="128" t="e" cm="1">
        <f t="array" ref="AI29">ROUND(ROUND((LessorBase[[#This Row],[Payment
EndDate]]-LessorBase[[#This Row],[Payment
StartDate]])/365,2)*_xlfn.IFS(LessorBase[[#This Row],[Payment
Frequency]]="MO",12,LessorBase[[#This Row],[Payment
Frequency]]="QT",4,LessorBase[[#This Row],[Payment
Frequency]]="SA",2,LessorBase[[#This Row],[Payment
Frequency]]="AN",1),0)</f>
        <v>#N/A</v>
      </c>
      <c r="AJ29" s="129" t="e">
        <f>ROUND(LessorBase[[#This Row],[Payment
Amount]]*LessorBase[[#This Row],[Number of
 Payments]],2)</f>
        <v>#N/A</v>
      </c>
      <c r="AK29" s="129" t="e">
        <f>IF(LessorBase[[#This Row],[Multi-
Record2]]="Multi-Amount", "calc on import", ROUND(PV(LessorBase[[#This Row],[Annual
Rate]]/IF(LessorBase[[#This Row],[Payment
Frequency]] = "MO",12,IF(LessorBase[[#This Row],[Payment
Frequency]] = "QT",4,IF(LessorBase[[#This Row],[Payment
Frequency]] = "SA",2,IF(LessorBase[[#This Row],[Payment
Frequency]] = "AN",1,0)))),LessorBase[[#This Row],[Number of
 Payments]],LessorBase[[#This Row],[Payment
Amount]],,IF(LessorBase[[#This Row],[Payment
Timing]]="Advance",1,IF(LessorBase[[#This Row],[Payment
Timing]]="Arrears",0,"x")))*-1,2))</f>
        <v>#DIV/0!</v>
      </c>
      <c r="AL29" s="129" t="e">
        <f>IF(LessorBase[[#This Row],[Multi-
Record2]]="Multi-Amount", "calc on import",LessorBase[[#This Row],[Total Amount
of Payments]]-LessorBase[[#This Row],[Present
Value]])</f>
        <v>#N/A</v>
      </c>
      <c r="AM29" s="129" t="e">
        <f>IF(LessorBase[[#This Row],[Multi-
Record2]]="Multi-Amount", "calc on import", LessorBase[[#This Row],[Present
Value]])</f>
        <v>#DIV/0!</v>
      </c>
      <c r="AN29" s="87" t="s">
        <v>295</v>
      </c>
      <c r="AO29" s="87"/>
      <c r="AP29" s="127"/>
      <c r="AQ29" s="87"/>
      <c r="AR29" s="87"/>
      <c r="AS29" s="87"/>
      <c r="AT29" s="87"/>
      <c r="AU29" s="87"/>
      <c r="AV29" s="87"/>
      <c r="AW29" s="87"/>
    </row>
    <row r="30" spans="1:49" x14ac:dyDescent="0.25">
      <c r="A30" s="87" t="s">
        <v>452</v>
      </c>
      <c r="B30" s="87">
        <f>'Agency Cover'!$B$3</f>
        <v>0</v>
      </c>
      <c r="C30" s="87"/>
      <c r="D30" s="87" t="s">
        <v>290</v>
      </c>
      <c r="E30" s="128">
        <f>COUNTIF(LessorBase[AgreementCode],LessorBase[[#This Row],[AgreementCode]])</f>
        <v>0</v>
      </c>
      <c r="F30" s="87"/>
      <c r="G30" s="128">
        <f>COUNTIF(LessorBase[AgreementTitle],LessorBase[[#This Row],[AgreementTitle]])</f>
        <v>0</v>
      </c>
      <c r="H30" s="87"/>
      <c r="I30" s="87"/>
      <c r="J30" s="87"/>
      <c r="K30" s="87"/>
      <c r="L30" s="126"/>
      <c r="M30" s="126"/>
      <c r="N30" s="126"/>
      <c r="O30" s="126"/>
      <c r="P30" s="126"/>
      <c r="Q30" s="126"/>
      <c r="R30" s="126"/>
      <c r="S30" s="131">
        <f>LEN(LessorBase[[#This Row],[Comments]])</f>
        <v>0</v>
      </c>
      <c r="T30" s="127" t="str">
        <f>LessorBase[[#This Row],[Multi-
Record]]</f>
        <v>None</v>
      </c>
      <c r="U30" s="87">
        <f>LessorBase[[#This Row],[AgreementCode]]</f>
        <v>0</v>
      </c>
      <c r="V30" s="87" t="str">
        <f>LEFT(LessorBase[[#This Row],[AgreementTitle]],50)</f>
        <v/>
      </c>
      <c r="W30" s="128">
        <f>LessorBase[[#This Row],[AgreementType]]</f>
        <v>0</v>
      </c>
      <c r="X30" s="87"/>
      <c r="Y30" s="87" t="str">
        <f>IF(LessorBase[[#This Row],[Incl. Options
End Date]] = 0, IF(ROUND(ROUND((LessorBase[[#This Row],[Initial Period
End Date]]-LessorBase[[#This Row],[Initial Period
Start Date]])/365,2)*12,0)&lt;=12,"None","Transactional"), IF(ROUND(ROUND((LessorBase[[#This Row],[Incl. Options
End Date]]-LessorBase[[#This Row],[Initial Period
Start Date]])/365,2)*12,0)&lt;=12,"None","Transactional"))</f>
        <v>None</v>
      </c>
      <c r="Z30" s="128">
        <f>LessorBase[[#This Row],[ProvisionType]]</f>
        <v>0</v>
      </c>
      <c r="AA30" s="126"/>
      <c r="AB30" s="126">
        <f>IF(LessorBase[[#This Row],[Incl. Options
End Date]]&gt;0,LessorBase[[#This Row],[Incl. Options
End Date]],LessorBase[[#This Row],[Initial Period
End Date]])</f>
        <v>0</v>
      </c>
      <c r="AC30" s="129"/>
      <c r="AD30" s="87"/>
      <c r="AE30" s="87"/>
      <c r="AF30" s="130"/>
      <c r="AG30" s="126"/>
      <c r="AH30" s="126">
        <f>IF(LessorBase[[#This Row],[Incl. Options
End Date]]&gt;0,LessorBase[[#This Row],[Incl. Options
End Date]],LessorBase[[#This Row],[Initial Period
End Date]])</f>
        <v>0</v>
      </c>
      <c r="AI30" s="128" t="e" cm="1">
        <f t="array" ref="AI30">ROUND(ROUND((LessorBase[[#This Row],[Payment
EndDate]]-LessorBase[[#This Row],[Payment
StartDate]])/365,2)*_xlfn.IFS(LessorBase[[#This Row],[Payment
Frequency]]="MO",12,LessorBase[[#This Row],[Payment
Frequency]]="QT",4,LessorBase[[#This Row],[Payment
Frequency]]="SA",2,LessorBase[[#This Row],[Payment
Frequency]]="AN",1),0)</f>
        <v>#N/A</v>
      </c>
      <c r="AJ30" s="129" t="e">
        <f>ROUND(LessorBase[[#This Row],[Payment
Amount]]*LessorBase[[#This Row],[Number of
 Payments]],2)</f>
        <v>#N/A</v>
      </c>
      <c r="AK30" s="129" t="e">
        <f>IF(LessorBase[[#This Row],[Multi-
Record2]]="Multi-Amount", "calc on import", ROUND(PV(LessorBase[[#This Row],[Annual
Rate]]/IF(LessorBase[[#This Row],[Payment
Frequency]] = "MO",12,IF(LessorBase[[#This Row],[Payment
Frequency]] = "QT",4,IF(LessorBase[[#This Row],[Payment
Frequency]] = "SA",2,IF(LessorBase[[#This Row],[Payment
Frequency]] = "AN",1,0)))),LessorBase[[#This Row],[Number of
 Payments]],LessorBase[[#This Row],[Payment
Amount]],,IF(LessorBase[[#This Row],[Payment
Timing]]="Advance",1,IF(LessorBase[[#This Row],[Payment
Timing]]="Arrears",0,"x")))*-1,2))</f>
        <v>#DIV/0!</v>
      </c>
      <c r="AL30" s="129" t="e">
        <f>IF(LessorBase[[#This Row],[Multi-
Record2]]="Multi-Amount", "calc on import",LessorBase[[#This Row],[Total Amount
of Payments]]-LessorBase[[#This Row],[Present
Value]])</f>
        <v>#N/A</v>
      </c>
      <c r="AM30" s="129" t="e">
        <f>IF(LessorBase[[#This Row],[Multi-
Record2]]="Multi-Amount", "calc on import", LessorBase[[#This Row],[Present
Value]])</f>
        <v>#DIV/0!</v>
      </c>
      <c r="AN30" s="87" t="s">
        <v>295</v>
      </c>
      <c r="AO30" s="87"/>
      <c r="AP30" s="127"/>
      <c r="AQ30" s="87"/>
      <c r="AR30" s="87"/>
      <c r="AS30" s="87"/>
      <c r="AT30" s="87"/>
      <c r="AU30" s="87"/>
      <c r="AV30" s="87"/>
      <c r="AW30" s="87"/>
    </row>
    <row r="31" spans="1:49" x14ac:dyDescent="0.25">
      <c r="A31" s="87" t="s">
        <v>452</v>
      </c>
      <c r="B31" s="87">
        <f>'Agency Cover'!$B$3</f>
        <v>0</v>
      </c>
      <c r="C31" s="87"/>
      <c r="D31" s="87" t="s">
        <v>290</v>
      </c>
      <c r="E31" s="128">
        <f>COUNTIF(LessorBase[AgreementCode],LessorBase[[#This Row],[AgreementCode]])</f>
        <v>0</v>
      </c>
      <c r="F31" s="87"/>
      <c r="G31" s="128">
        <f>COUNTIF(LessorBase[AgreementTitle],LessorBase[[#This Row],[AgreementTitle]])</f>
        <v>0</v>
      </c>
      <c r="H31" s="87"/>
      <c r="I31" s="87"/>
      <c r="J31" s="87"/>
      <c r="K31" s="87"/>
      <c r="L31" s="126"/>
      <c r="M31" s="126"/>
      <c r="N31" s="126"/>
      <c r="O31" s="126"/>
      <c r="P31" s="126"/>
      <c r="Q31" s="126"/>
      <c r="R31" s="126"/>
      <c r="S31" s="131">
        <f>LEN(LessorBase[[#This Row],[Comments]])</f>
        <v>0</v>
      </c>
      <c r="T31" s="127" t="str">
        <f>LessorBase[[#This Row],[Multi-
Record]]</f>
        <v>None</v>
      </c>
      <c r="U31" s="87">
        <f>LessorBase[[#This Row],[AgreementCode]]</f>
        <v>0</v>
      </c>
      <c r="V31" s="87" t="str">
        <f>LEFT(LessorBase[[#This Row],[AgreementTitle]],50)</f>
        <v/>
      </c>
      <c r="W31" s="128">
        <f>LessorBase[[#This Row],[AgreementType]]</f>
        <v>0</v>
      </c>
      <c r="X31" s="87"/>
      <c r="Y31" s="87" t="str">
        <f>IF(LessorBase[[#This Row],[Incl. Options
End Date]] = 0, IF(ROUND(ROUND((LessorBase[[#This Row],[Initial Period
End Date]]-LessorBase[[#This Row],[Initial Period
Start Date]])/365,2)*12,0)&lt;=12,"None","Transactional"), IF(ROUND(ROUND((LessorBase[[#This Row],[Incl. Options
End Date]]-LessorBase[[#This Row],[Initial Period
Start Date]])/365,2)*12,0)&lt;=12,"None","Transactional"))</f>
        <v>None</v>
      </c>
      <c r="Z31" s="128">
        <f>LessorBase[[#This Row],[ProvisionType]]</f>
        <v>0</v>
      </c>
      <c r="AA31" s="126"/>
      <c r="AB31" s="126">
        <f>IF(LessorBase[[#This Row],[Incl. Options
End Date]]&gt;0,LessorBase[[#This Row],[Incl. Options
End Date]],LessorBase[[#This Row],[Initial Period
End Date]])</f>
        <v>0</v>
      </c>
      <c r="AC31" s="129"/>
      <c r="AD31" s="87"/>
      <c r="AE31" s="87"/>
      <c r="AF31" s="130"/>
      <c r="AG31" s="126"/>
      <c r="AH31" s="126">
        <f>IF(LessorBase[[#This Row],[Incl. Options
End Date]]&gt;0,LessorBase[[#This Row],[Incl. Options
End Date]],LessorBase[[#This Row],[Initial Period
End Date]])</f>
        <v>0</v>
      </c>
      <c r="AI31" s="128" t="e" cm="1">
        <f t="array" ref="AI31">ROUND(ROUND((LessorBase[[#This Row],[Payment
EndDate]]-LessorBase[[#This Row],[Payment
StartDate]])/365,2)*_xlfn.IFS(LessorBase[[#This Row],[Payment
Frequency]]="MO",12,LessorBase[[#This Row],[Payment
Frequency]]="QT",4,LessorBase[[#This Row],[Payment
Frequency]]="SA",2,LessorBase[[#This Row],[Payment
Frequency]]="AN",1),0)</f>
        <v>#N/A</v>
      </c>
      <c r="AJ31" s="129" t="e">
        <f>ROUND(LessorBase[[#This Row],[Payment
Amount]]*LessorBase[[#This Row],[Number of
 Payments]],2)</f>
        <v>#N/A</v>
      </c>
      <c r="AK31" s="129" t="e">
        <f>IF(LessorBase[[#This Row],[Multi-
Record2]]="Multi-Amount", "calc on import", ROUND(PV(LessorBase[[#This Row],[Annual
Rate]]/IF(LessorBase[[#This Row],[Payment
Frequency]] = "MO",12,IF(LessorBase[[#This Row],[Payment
Frequency]] = "QT",4,IF(LessorBase[[#This Row],[Payment
Frequency]] = "SA",2,IF(LessorBase[[#This Row],[Payment
Frequency]] = "AN",1,0)))),LessorBase[[#This Row],[Number of
 Payments]],LessorBase[[#This Row],[Payment
Amount]],,IF(LessorBase[[#This Row],[Payment
Timing]]="Advance",1,IF(LessorBase[[#This Row],[Payment
Timing]]="Arrears",0,"x")))*-1,2))</f>
        <v>#DIV/0!</v>
      </c>
      <c r="AL31" s="129" t="e">
        <f>IF(LessorBase[[#This Row],[Multi-
Record2]]="Multi-Amount", "calc on import",LessorBase[[#This Row],[Total Amount
of Payments]]-LessorBase[[#This Row],[Present
Value]])</f>
        <v>#N/A</v>
      </c>
      <c r="AM31" s="129" t="e">
        <f>IF(LessorBase[[#This Row],[Multi-
Record2]]="Multi-Amount", "calc on import", LessorBase[[#This Row],[Present
Value]])</f>
        <v>#DIV/0!</v>
      </c>
      <c r="AN31" s="87" t="s">
        <v>295</v>
      </c>
      <c r="AO31" s="87"/>
      <c r="AP31" s="127"/>
      <c r="AQ31" s="87"/>
      <c r="AR31" s="87"/>
      <c r="AS31" s="87"/>
      <c r="AT31" s="87"/>
      <c r="AU31" s="87"/>
      <c r="AV31" s="87"/>
      <c r="AW31" s="87"/>
    </row>
    <row r="32" spans="1:49" x14ac:dyDescent="0.25">
      <c r="A32" s="87" t="s">
        <v>452</v>
      </c>
      <c r="B32" s="87">
        <f>'Agency Cover'!$B$3</f>
        <v>0</v>
      </c>
      <c r="C32" s="87"/>
      <c r="D32" s="87" t="s">
        <v>290</v>
      </c>
      <c r="E32" s="128">
        <f>COUNTIF(LessorBase[AgreementCode],LessorBase[[#This Row],[AgreementCode]])</f>
        <v>0</v>
      </c>
      <c r="F32" s="87"/>
      <c r="G32" s="128">
        <f>COUNTIF(LessorBase[AgreementTitle],LessorBase[[#This Row],[AgreementTitle]])</f>
        <v>0</v>
      </c>
      <c r="H32" s="87"/>
      <c r="I32" s="87"/>
      <c r="J32" s="87"/>
      <c r="K32" s="87"/>
      <c r="L32" s="126"/>
      <c r="M32" s="126"/>
      <c r="N32" s="126"/>
      <c r="O32" s="126"/>
      <c r="P32" s="126"/>
      <c r="Q32" s="126"/>
      <c r="R32" s="126"/>
      <c r="S32" s="131">
        <f>LEN(LessorBase[[#This Row],[Comments]])</f>
        <v>0</v>
      </c>
      <c r="T32" s="127" t="str">
        <f>LessorBase[[#This Row],[Multi-
Record]]</f>
        <v>None</v>
      </c>
      <c r="U32" s="87">
        <f>LessorBase[[#This Row],[AgreementCode]]</f>
        <v>0</v>
      </c>
      <c r="V32" s="87" t="str">
        <f>LEFT(LessorBase[[#This Row],[AgreementTitle]],50)</f>
        <v/>
      </c>
      <c r="W32" s="128">
        <f>LessorBase[[#This Row],[AgreementType]]</f>
        <v>0</v>
      </c>
      <c r="X32" s="87"/>
      <c r="Y32" s="87" t="str">
        <f>IF(LessorBase[[#This Row],[Incl. Options
End Date]] = 0, IF(ROUND(ROUND((LessorBase[[#This Row],[Initial Period
End Date]]-LessorBase[[#This Row],[Initial Period
Start Date]])/365,2)*12,0)&lt;=12,"None","Transactional"), IF(ROUND(ROUND((LessorBase[[#This Row],[Incl. Options
End Date]]-LessorBase[[#This Row],[Initial Period
Start Date]])/365,2)*12,0)&lt;=12,"None","Transactional"))</f>
        <v>None</v>
      </c>
      <c r="Z32" s="128">
        <f>LessorBase[[#This Row],[ProvisionType]]</f>
        <v>0</v>
      </c>
      <c r="AA32" s="126"/>
      <c r="AB32" s="126">
        <f>IF(LessorBase[[#This Row],[Incl. Options
End Date]]&gt;0,LessorBase[[#This Row],[Incl. Options
End Date]],LessorBase[[#This Row],[Initial Period
End Date]])</f>
        <v>0</v>
      </c>
      <c r="AC32" s="129"/>
      <c r="AD32" s="87"/>
      <c r="AE32" s="87"/>
      <c r="AF32" s="130"/>
      <c r="AG32" s="126"/>
      <c r="AH32" s="126">
        <f>IF(LessorBase[[#This Row],[Incl. Options
End Date]]&gt;0,LessorBase[[#This Row],[Incl. Options
End Date]],LessorBase[[#This Row],[Initial Period
End Date]])</f>
        <v>0</v>
      </c>
      <c r="AI32" s="128" t="e" cm="1">
        <f t="array" ref="AI32">ROUND(ROUND((LessorBase[[#This Row],[Payment
EndDate]]-LessorBase[[#This Row],[Payment
StartDate]])/365,2)*_xlfn.IFS(LessorBase[[#This Row],[Payment
Frequency]]="MO",12,LessorBase[[#This Row],[Payment
Frequency]]="QT",4,LessorBase[[#This Row],[Payment
Frequency]]="SA",2,LessorBase[[#This Row],[Payment
Frequency]]="AN",1),0)</f>
        <v>#N/A</v>
      </c>
      <c r="AJ32" s="129" t="e">
        <f>ROUND(LessorBase[[#This Row],[Payment
Amount]]*LessorBase[[#This Row],[Number of
 Payments]],2)</f>
        <v>#N/A</v>
      </c>
      <c r="AK32" s="129" t="e">
        <f>IF(LessorBase[[#This Row],[Multi-
Record2]]="Multi-Amount", "calc on import", ROUND(PV(LessorBase[[#This Row],[Annual
Rate]]/IF(LessorBase[[#This Row],[Payment
Frequency]] = "MO",12,IF(LessorBase[[#This Row],[Payment
Frequency]] = "QT",4,IF(LessorBase[[#This Row],[Payment
Frequency]] = "SA",2,IF(LessorBase[[#This Row],[Payment
Frequency]] = "AN",1,0)))),LessorBase[[#This Row],[Number of
 Payments]],LessorBase[[#This Row],[Payment
Amount]],,IF(LessorBase[[#This Row],[Payment
Timing]]="Advance",1,IF(LessorBase[[#This Row],[Payment
Timing]]="Arrears",0,"x")))*-1,2))</f>
        <v>#DIV/0!</v>
      </c>
      <c r="AL32" s="129" t="e">
        <f>IF(LessorBase[[#This Row],[Multi-
Record2]]="Multi-Amount", "calc on import",LessorBase[[#This Row],[Total Amount
of Payments]]-LessorBase[[#This Row],[Present
Value]])</f>
        <v>#N/A</v>
      </c>
      <c r="AM32" s="129" t="e">
        <f>IF(LessorBase[[#This Row],[Multi-
Record2]]="Multi-Amount", "calc on import", LessorBase[[#This Row],[Present
Value]])</f>
        <v>#DIV/0!</v>
      </c>
      <c r="AN32" s="87" t="s">
        <v>295</v>
      </c>
      <c r="AO32" s="87"/>
      <c r="AP32" s="127"/>
      <c r="AQ32" s="87"/>
      <c r="AR32" s="87"/>
      <c r="AS32" s="87"/>
      <c r="AT32" s="87"/>
      <c r="AU32" s="87"/>
      <c r="AV32" s="87"/>
      <c r="AW32" s="87"/>
    </row>
    <row r="33" spans="1:49" x14ac:dyDescent="0.25">
      <c r="A33" s="87" t="s">
        <v>452</v>
      </c>
      <c r="B33" s="87">
        <f>'Agency Cover'!$B$3</f>
        <v>0</v>
      </c>
      <c r="C33" s="87"/>
      <c r="D33" s="87" t="s">
        <v>290</v>
      </c>
      <c r="E33" s="128">
        <f>COUNTIF(LessorBase[AgreementCode],LessorBase[[#This Row],[AgreementCode]])</f>
        <v>0</v>
      </c>
      <c r="F33" s="87"/>
      <c r="G33" s="128">
        <f>COUNTIF(LessorBase[AgreementTitle],LessorBase[[#This Row],[AgreementTitle]])</f>
        <v>0</v>
      </c>
      <c r="H33" s="87"/>
      <c r="I33" s="87"/>
      <c r="J33" s="87"/>
      <c r="K33" s="87"/>
      <c r="L33" s="126"/>
      <c r="M33" s="126"/>
      <c r="N33" s="126"/>
      <c r="O33" s="126"/>
      <c r="P33" s="126"/>
      <c r="Q33" s="126"/>
      <c r="R33" s="126"/>
      <c r="S33" s="131">
        <f>LEN(LessorBase[[#This Row],[Comments]])</f>
        <v>0</v>
      </c>
      <c r="T33" s="127" t="str">
        <f>LessorBase[[#This Row],[Multi-
Record]]</f>
        <v>None</v>
      </c>
      <c r="U33" s="87">
        <f>LessorBase[[#This Row],[AgreementCode]]</f>
        <v>0</v>
      </c>
      <c r="V33" s="87" t="str">
        <f>LEFT(LessorBase[[#This Row],[AgreementTitle]],50)</f>
        <v/>
      </c>
      <c r="W33" s="128">
        <f>LessorBase[[#This Row],[AgreementType]]</f>
        <v>0</v>
      </c>
      <c r="X33" s="87"/>
      <c r="Y33" s="87" t="str">
        <f>IF(LessorBase[[#This Row],[Incl. Options
End Date]] = 0, IF(ROUND(ROUND((LessorBase[[#This Row],[Initial Period
End Date]]-LessorBase[[#This Row],[Initial Period
Start Date]])/365,2)*12,0)&lt;=12,"None","Transactional"), IF(ROUND(ROUND((LessorBase[[#This Row],[Incl. Options
End Date]]-LessorBase[[#This Row],[Initial Period
Start Date]])/365,2)*12,0)&lt;=12,"None","Transactional"))</f>
        <v>None</v>
      </c>
      <c r="Z33" s="128">
        <f>LessorBase[[#This Row],[ProvisionType]]</f>
        <v>0</v>
      </c>
      <c r="AA33" s="126"/>
      <c r="AB33" s="126">
        <f>IF(LessorBase[[#This Row],[Incl. Options
End Date]]&gt;0,LessorBase[[#This Row],[Incl. Options
End Date]],LessorBase[[#This Row],[Initial Period
End Date]])</f>
        <v>0</v>
      </c>
      <c r="AC33" s="129"/>
      <c r="AD33" s="87"/>
      <c r="AE33" s="87"/>
      <c r="AF33" s="130"/>
      <c r="AG33" s="126"/>
      <c r="AH33" s="126">
        <f>IF(LessorBase[[#This Row],[Incl. Options
End Date]]&gt;0,LessorBase[[#This Row],[Incl. Options
End Date]],LessorBase[[#This Row],[Initial Period
End Date]])</f>
        <v>0</v>
      </c>
      <c r="AI33" s="128" t="e" cm="1">
        <f t="array" ref="AI33">ROUND(ROUND((LessorBase[[#This Row],[Payment
EndDate]]-LessorBase[[#This Row],[Payment
StartDate]])/365,2)*_xlfn.IFS(LessorBase[[#This Row],[Payment
Frequency]]="MO",12,LessorBase[[#This Row],[Payment
Frequency]]="QT",4,LessorBase[[#This Row],[Payment
Frequency]]="SA",2,LessorBase[[#This Row],[Payment
Frequency]]="AN",1),0)</f>
        <v>#N/A</v>
      </c>
      <c r="AJ33" s="129" t="e">
        <f>ROUND(LessorBase[[#This Row],[Payment
Amount]]*LessorBase[[#This Row],[Number of
 Payments]],2)</f>
        <v>#N/A</v>
      </c>
      <c r="AK33" s="129" t="e">
        <f>IF(LessorBase[[#This Row],[Multi-
Record2]]="Multi-Amount", "calc on import", ROUND(PV(LessorBase[[#This Row],[Annual
Rate]]/IF(LessorBase[[#This Row],[Payment
Frequency]] = "MO",12,IF(LessorBase[[#This Row],[Payment
Frequency]] = "QT",4,IF(LessorBase[[#This Row],[Payment
Frequency]] = "SA",2,IF(LessorBase[[#This Row],[Payment
Frequency]] = "AN",1,0)))),LessorBase[[#This Row],[Number of
 Payments]],LessorBase[[#This Row],[Payment
Amount]],,IF(LessorBase[[#This Row],[Payment
Timing]]="Advance",1,IF(LessorBase[[#This Row],[Payment
Timing]]="Arrears",0,"x")))*-1,2))</f>
        <v>#DIV/0!</v>
      </c>
      <c r="AL33" s="129" t="e">
        <f>IF(LessorBase[[#This Row],[Multi-
Record2]]="Multi-Amount", "calc on import",LessorBase[[#This Row],[Total Amount
of Payments]]-LessorBase[[#This Row],[Present
Value]])</f>
        <v>#N/A</v>
      </c>
      <c r="AM33" s="129" t="e">
        <f>IF(LessorBase[[#This Row],[Multi-
Record2]]="Multi-Amount", "calc on import", LessorBase[[#This Row],[Present
Value]])</f>
        <v>#DIV/0!</v>
      </c>
      <c r="AN33" s="87" t="s">
        <v>295</v>
      </c>
      <c r="AO33" s="87"/>
      <c r="AP33" s="127"/>
      <c r="AQ33" s="87"/>
      <c r="AR33" s="87"/>
      <c r="AS33" s="87"/>
      <c r="AT33" s="87"/>
      <c r="AU33" s="87"/>
      <c r="AV33" s="87"/>
      <c r="AW33" s="87"/>
    </row>
    <row r="34" spans="1:49" x14ac:dyDescent="0.25">
      <c r="A34" s="87" t="s">
        <v>452</v>
      </c>
      <c r="B34" s="87">
        <f>'Agency Cover'!$B$3</f>
        <v>0</v>
      </c>
      <c r="C34" s="87"/>
      <c r="D34" s="87" t="s">
        <v>290</v>
      </c>
      <c r="E34" s="128">
        <f>COUNTIF(LessorBase[AgreementCode],LessorBase[[#This Row],[AgreementCode]])</f>
        <v>0</v>
      </c>
      <c r="F34" s="87"/>
      <c r="G34" s="128">
        <f>COUNTIF(LessorBase[AgreementTitle],LessorBase[[#This Row],[AgreementTitle]])</f>
        <v>0</v>
      </c>
      <c r="H34" s="87"/>
      <c r="I34" s="87"/>
      <c r="J34" s="87"/>
      <c r="K34" s="87"/>
      <c r="L34" s="126"/>
      <c r="M34" s="126"/>
      <c r="N34" s="126"/>
      <c r="O34" s="126"/>
      <c r="P34" s="126"/>
      <c r="Q34" s="126"/>
      <c r="R34" s="126"/>
      <c r="S34" s="131">
        <f>LEN(LessorBase[[#This Row],[Comments]])</f>
        <v>0</v>
      </c>
      <c r="T34" s="127" t="str">
        <f>LessorBase[[#This Row],[Multi-
Record]]</f>
        <v>None</v>
      </c>
      <c r="U34" s="87">
        <f>LessorBase[[#This Row],[AgreementCode]]</f>
        <v>0</v>
      </c>
      <c r="V34" s="87" t="str">
        <f>LEFT(LessorBase[[#This Row],[AgreementTitle]],50)</f>
        <v/>
      </c>
      <c r="W34" s="128">
        <f>LessorBase[[#This Row],[AgreementType]]</f>
        <v>0</v>
      </c>
      <c r="X34" s="87"/>
      <c r="Y34" s="87" t="str">
        <f>IF(LessorBase[[#This Row],[Incl. Options
End Date]] = 0, IF(ROUND(ROUND((LessorBase[[#This Row],[Initial Period
End Date]]-LessorBase[[#This Row],[Initial Period
Start Date]])/365,2)*12,0)&lt;=12,"None","Transactional"), IF(ROUND(ROUND((LessorBase[[#This Row],[Incl. Options
End Date]]-LessorBase[[#This Row],[Initial Period
Start Date]])/365,2)*12,0)&lt;=12,"None","Transactional"))</f>
        <v>None</v>
      </c>
      <c r="Z34" s="128">
        <f>LessorBase[[#This Row],[ProvisionType]]</f>
        <v>0</v>
      </c>
      <c r="AA34" s="126"/>
      <c r="AB34" s="126">
        <f>IF(LessorBase[[#This Row],[Incl. Options
End Date]]&gt;0,LessorBase[[#This Row],[Incl. Options
End Date]],LessorBase[[#This Row],[Initial Period
End Date]])</f>
        <v>0</v>
      </c>
      <c r="AC34" s="129"/>
      <c r="AD34" s="87"/>
      <c r="AE34" s="87"/>
      <c r="AF34" s="130"/>
      <c r="AG34" s="126"/>
      <c r="AH34" s="126">
        <f>IF(LessorBase[[#This Row],[Incl. Options
End Date]]&gt;0,LessorBase[[#This Row],[Incl. Options
End Date]],LessorBase[[#This Row],[Initial Period
End Date]])</f>
        <v>0</v>
      </c>
      <c r="AI34" s="128" t="e" cm="1">
        <f t="array" ref="AI34">ROUND(ROUND((LessorBase[[#This Row],[Payment
EndDate]]-LessorBase[[#This Row],[Payment
StartDate]])/365,2)*_xlfn.IFS(LessorBase[[#This Row],[Payment
Frequency]]="MO",12,LessorBase[[#This Row],[Payment
Frequency]]="QT",4,LessorBase[[#This Row],[Payment
Frequency]]="SA",2,LessorBase[[#This Row],[Payment
Frequency]]="AN",1),0)</f>
        <v>#N/A</v>
      </c>
      <c r="AJ34" s="129" t="e">
        <f>ROUND(LessorBase[[#This Row],[Payment
Amount]]*LessorBase[[#This Row],[Number of
 Payments]],2)</f>
        <v>#N/A</v>
      </c>
      <c r="AK34" s="129" t="e">
        <f>IF(LessorBase[[#This Row],[Multi-
Record2]]="Multi-Amount", "calc on import", ROUND(PV(LessorBase[[#This Row],[Annual
Rate]]/IF(LessorBase[[#This Row],[Payment
Frequency]] = "MO",12,IF(LessorBase[[#This Row],[Payment
Frequency]] = "QT",4,IF(LessorBase[[#This Row],[Payment
Frequency]] = "SA",2,IF(LessorBase[[#This Row],[Payment
Frequency]] = "AN",1,0)))),LessorBase[[#This Row],[Number of
 Payments]],LessorBase[[#This Row],[Payment
Amount]],,IF(LessorBase[[#This Row],[Payment
Timing]]="Advance",1,IF(LessorBase[[#This Row],[Payment
Timing]]="Arrears",0,"x")))*-1,2))</f>
        <v>#DIV/0!</v>
      </c>
      <c r="AL34" s="129" t="e">
        <f>IF(LessorBase[[#This Row],[Multi-
Record2]]="Multi-Amount", "calc on import",LessorBase[[#This Row],[Total Amount
of Payments]]-LessorBase[[#This Row],[Present
Value]])</f>
        <v>#N/A</v>
      </c>
      <c r="AM34" s="129" t="e">
        <f>IF(LessorBase[[#This Row],[Multi-
Record2]]="Multi-Amount", "calc on import", LessorBase[[#This Row],[Present
Value]])</f>
        <v>#DIV/0!</v>
      </c>
      <c r="AN34" s="87" t="s">
        <v>295</v>
      </c>
      <c r="AO34" s="87"/>
      <c r="AP34" s="127"/>
      <c r="AQ34" s="87"/>
      <c r="AR34" s="87"/>
      <c r="AS34" s="87"/>
      <c r="AT34" s="87"/>
      <c r="AU34" s="87"/>
      <c r="AV34" s="87"/>
      <c r="AW34" s="87"/>
    </row>
    <row r="35" spans="1:49" x14ac:dyDescent="0.25">
      <c r="A35" s="87" t="s">
        <v>452</v>
      </c>
      <c r="B35" s="87">
        <f>'Agency Cover'!$B$3</f>
        <v>0</v>
      </c>
      <c r="C35" s="87"/>
      <c r="D35" s="87" t="s">
        <v>290</v>
      </c>
      <c r="E35" s="128">
        <f>COUNTIF(LessorBase[AgreementCode],LessorBase[[#This Row],[AgreementCode]])</f>
        <v>0</v>
      </c>
      <c r="F35" s="87"/>
      <c r="G35" s="128">
        <f>COUNTIF(LessorBase[AgreementTitle],LessorBase[[#This Row],[AgreementTitle]])</f>
        <v>0</v>
      </c>
      <c r="H35" s="87"/>
      <c r="I35" s="87"/>
      <c r="J35" s="87"/>
      <c r="K35" s="87"/>
      <c r="L35" s="126"/>
      <c r="M35" s="126"/>
      <c r="N35" s="126"/>
      <c r="O35" s="126"/>
      <c r="P35" s="126"/>
      <c r="Q35" s="126"/>
      <c r="R35" s="126"/>
      <c r="S35" s="131">
        <f>LEN(LessorBase[[#This Row],[Comments]])</f>
        <v>0</v>
      </c>
      <c r="T35" s="127" t="str">
        <f>LessorBase[[#This Row],[Multi-
Record]]</f>
        <v>None</v>
      </c>
      <c r="U35" s="87">
        <f>LessorBase[[#This Row],[AgreementCode]]</f>
        <v>0</v>
      </c>
      <c r="V35" s="87" t="str">
        <f>LEFT(LessorBase[[#This Row],[AgreementTitle]],50)</f>
        <v/>
      </c>
      <c r="W35" s="128">
        <f>LessorBase[[#This Row],[AgreementType]]</f>
        <v>0</v>
      </c>
      <c r="X35" s="87"/>
      <c r="Y35" s="87" t="str">
        <f>IF(LessorBase[[#This Row],[Incl. Options
End Date]] = 0, IF(ROUND(ROUND((LessorBase[[#This Row],[Initial Period
End Date]]-LessorBase[[#This Row],[Initial Period
Start Date]])/365,2)*12,0)&lt;=12,"None","Transactional"), IF(ROUND(ROUND((LessorBase[[#This Row],[Incl. Options
End Date]]-LessorBase[[#This Row],[Initial Period
Start Date]])/365,2)*12,0)&lt;=12,"None","Transactional"))</f>
        <v>None</v>
      </c>
      <c r="Z35" s="128">
        <f>LessorBase[[#This Row],[ProvisionType]]</f>
        <v>0</v>
      </c>
      <c r="AA35" s="126"/>
      <c r="AB35" s="126">
        <f>IF(LessorBase[[#This Row],[Incl. Options
End Date]]&gt;0,LessorBase[[#This Row],[Incl. Options
End Date]],LessorBase[[#This Row],[Initial Period
End Date]])</f>
        <v>0</v>
      </c>
      <c r="AC35" s="129"/>
      <c r="AD35" s="87"/>
      <c r="AE35" s="87"/>
      <c r="AF35" s="130"/>
      <c r="AG35" s="126"/>
      <c r="AH35" s="126">
        <f>IF(LessorBase[[#This Row],[Incl. Options
End Date]]&gt;0,LessorBase[[#This Row],[Incl. Options
End Date]],LessorBase[[#This Row],[Initial Period
End Date]])</f>
        <v>0</v>
      </c>
      <c r="AI35" s="128" t="e" cm="1">
        <f t="array" ref="AI35">ROUND(ROUND((LessorBase[[#This Row],[Payment
EndDate]]-LessorBase[[#This Row],[Payment
StartDate]])/365,2)*_xlfn.IFS(LessorBase[[#This Row],[Payment
Frequency]]="MO",12,LessorBase[[#This Row],[Payment
Frequency]]="QT",4,LessorBase[[#This Row],[Payment
Frequency]]="SA",2,LessorBase[[#This Row],[Payment
Frequency]]="AN",1),0)</f>
        <v>#N/A</v>
      </c>
      <c r="AJ35" s="129" t="e">
        <f>ROUND(LessorBase[[#This Row],[Payment
Amount]]*LessorBase[[#This Row],[Number of
 Payments]],2)</f>
        <v>#N/A</v>
      </c>
      <c r="AK35" s="129" t="e">
        <f>IF(LessorBase[[#This Row],[Multi-
Record2]]="Multi-Amount", "calc on import", ROUND(PV(LessorBase[[#This Row],[Annual
Rate]]/IF(LessorBase[[#This Row],[Payment
Frequency]] = "MO",12,IF(LessorBase[[#This Row],[Payment
Frequency]] = "QT",4,IF(LessorBase[[#This Row],[Payment
Frequency]] = "SA",2,IF(LessorBase[[#This Row],[Payment
Frequency]] = "AN",1,0)))),LessorBase[[#This Row],[Number of
 Payments]],LessorBase[[#This Row],[Payment
Amount]],,IF(LessorBase[[#This Row],[Payment
Timing]]="Advance",1,IF(LessorBase[[#This Row],[Payment
Timing]]="Arrears",0,"x")))*-1,2))</f>
        <v>#DIV/0!</v>
      </c>
      <c r="AL35" s="129" t="e">
        <f>IF(LessorBase[[#This Row],[Multi-
Record2]]="Multi-Amount", "calc on import",LessorBase[[#This Row],[Total Amount
of Payments]]-LessorBase[[#This Row],[Present
Value]])</f>
        <v>#N/A</v>
      </c>
      <c r="AM35" s="129" t="e">
        <f>IF(LessorBase[[#This Row],[Multi-
Record2]]="Multi-Amount", "calc on import", LessorBase[[#This Row],[Present
Value]])</f>
        <v>#DIV/0!</v>
      </c>
      <c r="AN35" s="87" t="s">
        <v>295</v>
      </c>
      <c r="AO35" s="87"/>
      <c r="AP35" s="127"/>
      <c r="AQ35" s="87"/>
      <c r="AR35" s="87"/>
      <c r="AS35" s="87"/>
      <c r="AT35" s="87"/>
      <c r="AU35" s="87"/>
      <c r="AV35" s="87"/>
      <c r="AW35" s="87"/>
    </row>
    <row r="36" spans="1:49" x14ac:dyDescent="0.25">
      <c r="A36" s="87" t="s">
        <v>452</v>
      </c>
      <c r="B36" s="87">
        <f>'Agency Cover'!$B$3</f>
        <v>0</v>
      </c>
      <c r="C36" s="87"/>
      <c r="D36" s="87" t="s">
        <v>290</v>
      </c>
      <c r="E36" s="128">
        <f>COUNTIF(LessorBase[AgreementCode],LessorBase[[#This Row],[AgreementCode]])</f>
        <v>0</v>
      </c>
      <c r="F36" s="87"/>
      <c r="G36" s="128">
        <f>COUNTIF(LessorBase[AgreementTitle],LessorBase[[#This Row],[AgreementTitle]])</f>
        <v>0</v>
      </c>
      <c r="H36" s="87"/>
      <c r="I36" s="87"/>
      <c r="J36" s="87"/>
      <c r="K36" s="87"/>
      <c r="L36" s="126"/>
      <c r="M36" s="126"/>
      <c r="N36" s="126"/>
      <c r="O36" s="126"/>
      <c r="P36" s="126"/>
      <c r="Q36" s="126"/>
      <c r="R36" s="126"/>
      <c r="S36" s="131">
        <f>LEN(LessorBase[[#This Row],[Comments]])</f>
        <v>0</v>
      </c>
      <c r="T36" s="127" t="str">
        <f>LessorBase[[#This Row],[Multi-
Record]]</f>
        <v>None</v>
      </c>
      <c r="U36" s="87">
        <f>LessorBase[[#This Row],[AgreementCode]]</f>
        <v>0</v>
      </c>
      <c r="V36" s="87" t="str">
        <f>LEFT(LessorBase[[#This Row],[AgreementTitle]],50)</f>
        <v/>
      </c>
      <c r="W36" s="128">
        <f>LessorBase[[#This Row],[AgreementType]]</f>
        <v>0</v>
      </c>
      <c r="X36" s="87"/>
      <c r="Y36" s="87" t="str">
        <f>IF(LessorBase[[#This Row],[Incl. Options
End Date]] = 0, IF(ROUND(ROUND((LessorBase[[#This Row],[Initial Period
End Date]]-LessorBase[[#This Row],[Initial Period
Start Date]])/365,2)*12,0)&lt;=12,"None","Transactional"), IF(ROUND(ROUND((LessorBase[[#This Row],[Incl. Options
End Date]]-LessorBase[[#This Row],[Initial Period
Start Date]])/365,2)*12,0)&lt;=12,"None","Transactional"))</f>
        <v>None</v>
      </c>
      <c r="Z36" s="128">
        <f>LessorBase[[#This Row],[ProvisionType]]</f>
        <v>0</v>
      </c>
      <c r="AA36" s="126"/>
      <c r="AB36" s="126">
        <f>IF(LessorBase[[#This Row],[Incl. Options
End Date]]&gt;0,LessorBase[[#This Row],[Incl. Options
End Date]],LessorBase[[#This Row],[Initial Period
End Date]])</f>
        <v>0</v>
      </c>
      <c r="AC36" s="129"/>
      <c r="AD36" s="87"/>
      <c r="AE36" s="87"/>
      <c r="AF36" s="130"/>
      <c r="AG36" s="126"/>
      <c r="AH36" s="126">
        <f>IF(LessorBase[[#This Row],[Incl. Options
End Date]]&gt;0,LessorBase[[#This Row],[Incl. Options
End Date]],LessorBase[[#This Row],[Initial Period
End Date]])</f>
        <v>0</v>
      </c>
      <c r="AI36" s="128" t="e" cm="1">
        <f t="array" ref="AI36">ROUND(ROUND((LessorBase[[#This Row],[Payment
EndDate]]-LessorBase[[#This Row],[Payment
StartDate]])/365,2)*_xlfn.IFS(LessorBase[[#This Row],[Payment
Frequency]]="MO",12,LessorBase[[#This Row],[Payment
Frequency]]="QT",4,LessorBase[[#This Row],[Payment
Frequency]]="SA",2,LessorBase[[#This Row],[Payment
Frequency]]="AN",1),0)</f>
        <v>#N/A</v>
      </c>
      <c r="AJ36" s="129" t="e">
        <f>ROUND(LessorBase[[#This Row],[Payment
Amount]]*LessorBase[[#This Row],[Number of
 Payments]],2)</f>
        <v>#N/A</v>
      </c>
      <c r="AK36" s="129" t="e">
        <f>IF(LessorBase[[#This Row],[Multi-
Record2]]="Multi-Amount", "calc on import", ROUND(PV(LessorBase[[#This Row],[Annual
Rate]]/IF(LessorBase[[#This Row],[Payment
Frequency]] = "MO",12,IF(LessorBase[[#This Row],[Payment
Frequency]] = "QT",4,IF(LessorBase[[#This Row],[Payment
Frequency]] = "SA",2,IF(LessorBase[[#This Row],[Payment
Frequency]] = "AN",1,0)))),LessorBase[[#This Row],[Number of
 Payments]],LessorBase[[#This Row],[Payment
Amount]],,IF(LessorBase[[#This Row],[Payment
Timing]]="Advance",1,IF(LessorBase[[#This Row],[Payment
Timing]]="Arrears",0,"x")))*-1,2))</f>
        <v>#DIV/0!</v>
      </c>
      <c r="AL36" s="129" t="e">
        <f>IF(LessorBase[[#This Row],[Multi-
Record2]]="Multi-Amount", "calc on import",LessorBase[[#This Row],[Total Amount
of Payments]]-LessorBase[[#This Row],[Present
Value]])</f>
        <v>#N/A</v>
      </c>
      <c r="AM36" s="129" t="e">
        <f>IF(LessorBase[[#This Row],[Multi-
Record2]]="Multi-Amount", "calc on import", LessorBase[[#This Row],[Present
Value]])</f>
        <v>#DIV/0!</v>
      </c>
      <c r="AN36" s="87" t="s">
        <v>295</v>
      </c>
      <c r="AO36" s="87"/>
      <c r="AP36" s="127"/>
      <c r="AQ36" s="87"/>
      <c r="AR36" s="87"/>
      <c r="AS36" s="87"/>
      <c r="AT36" s="87"/>
      <c r="AU36" s="87"/>
      <c r="AV36" s="87"/>
      <c r="AW36" s="87"/>
    </row>
    <row r="37" spans="1:49" x14ac:dyDescent="0.25">
      <c r="A37" s="87" t="s">
        <v>452</v>
      </c>
      <c r="B37" s="87">
        <f>'Agency Cover'!$B$3</f>
        <v>0</v>
      </c>
      <c r="C37" s="87"/>
      <c r="D37" s="87" t="s">
        <v>290</v>
      </c>
      <c r="E37" s="128">
        <f>COUNTIF(LessorBase[AgreementCode],LessorBase[[#This Row],[AgreementCode]])</f>
        <v>0</v>
      </c>
      <c r="F37" s="87"/>
      <c r="G37" s="128">
        <f>COUNTIF(LessorBase[AgreementTitle],LessorBase[[#This Row],[AgreementTitle]])</f>
        <v>0</v>
      </c>
      <c r="H37" s="87"/>
      <c r="I37" s="87"/>
      <c r="J37" s="87"/>
      <c r="K37" s="87"/>
      <c r="L37" s="126"/>
      <c r="M37" s="126"/>
      <c r="N37" s="126"/>
      <c r="O37" s="126"/>
      <c r="P37" s="126"/>
      <c r="Q37" s="126"/>
      <c r="R37" s="126"/>
      <c r="S37" s="131">
        <f>LEN(LessorBase[[#This Row],[Comments]])</f>
        <v>0</v>
      </c>
      <c r="T37" s="127" t="str">
        <f>LessorBase[[#This Row],[Multi-
Record]]</f>
        <v>None</v>
      </c>
      <c r="U37" s="87">
        <f>LessorBase[[#This Row],[AgreementCode]]</f>
        <v>0</v>
      </c>
      <c r="V37" s="87" t="str">
        <f>LEFT(LessorBase[[#This Row],[AgreementTitle]],50)</f>
        <v/>
      </c>
      <c r="W37" s="128">
        <f>LessorBase[[#This Row],[AgreementType]]</f>
        <v>0</v>
      </c>
      <c r="X37" s="87"/>
      <c r="Y37" s="87" t="str">
        <f>IF(LessorBase[[#This Row],[Incl. Options
End Date]] = 0, IF(ROUND(ROUND((LessorBase[[#This Row],[Initial Period
End Date]]-LessorBase[[#This Row],[Initial Period
Start Date]])/365,2)*12,0)&lt;=12,"None","Transactional"), IF(ROUND(ROUND((LessorBase[[#This Row],[Incl. Options
End Date]]-LessorBase[[#This Row],[Initial Period
Start Date]])/365,2)*12,0)&lt;=12,"None","Transactional"))</f>
        <v>None</v>
      </c>
      <c r="Z37" s="128">
        <f>LessorBase[[#This Row],[ProvisionType]]</f>
        <v>0</v>
      </c>
      <c r="AA37" s="126"/>
      <c r="AB37" s="126">
        <f>IF(LessorBase[[#This Row],[Incl. Options
End Date]]&gt;0,LessorBase[[#This Row],[Incl. Options
End Date]],LessorBase[[#This Row],[Initial Period
End Date]])</f>
        <v>0</v>
      </c>
      <c r="AC37" s="129"/>
      <c r="AD37" s="87"/>
      <c r="AE37" s="87"/>
      <c r="AF37" s="130"/>
      <c r="AG37" s="126"/>
      <c r="AH37" s="126">
        <f>IF(LessorBase[[#This Row],[Incl. Options
End Date]]&gt;0,LessorBase[[#This Row],[Incl. Options
End Date]],LessorBase[[#This Row],[Initial Period
End Date]])</f>
        <v>0</v>
      </c>
      <c r="AI37" s="128" t="e" cm="1">
        <f t="array" ref="AI37">ROUND(ROUND((LessorBase[[#This Row],[Payment
EndDate]]-LessorBase[[#This Row],[Payment
StartDate]])/365,2)*_xlfn.IFS(LessorBase[[#This Row],[Payment
Frequency]]="MO",12,LessorBase[[#This Row],[Payment
Frequency]]="QT",4,LessorBase[[#This Row],[Payment
Frequency]]="SA",2,LessorBase[[#This Row],[Payment
Frequency]]="AN",1),0)</f>
        <v>#N/A</v>
      </c>
      <c r="AJ37" s="129" t="e">
        <f>ROUND(LessorBase[[#This Row],[Payment
Amount]]*LessorBase[[#This Row],[Number of
 Payments]],2)</f>
        <v>#N/A</v>
      </c>
      <c r="AK37" s="129" t="e">
        <f>IF(LessorBase[[#This Row],[Multi-
Record2]]="Multi-Amount", "calc on import", ROUND(PV(LessorBase[[#This Row],[Annual
Rate]]/IF(LessorBase[[#This Row],[Payment
Frequency]] = "MO",12,IF(LessorBase[[#This Row],[Payment
Frequency]] = "QT",4,IF(LessorBase[[#This Row],[Payment
Frequency]] = "SA",2,IF(LessorBase[[#This Row],[Payment
Frequency]] = "AN",1,0)))),LessorBase[[#This Row],[Number of
 Payments]],LessorBase[[#This Row],[Payment
Amount]],,IF(LessorBase[[#This Row],[Payment
Timing]]="Advance",1,IF(LessorBase[[#This Row],[Payment
Timing]]="Arrears",0,"x")))*-1,2))</f>
        <v>#DIV/0!</v>
      </c>
      <c r="AL37" s="129" t="e">
        <f>IF(LessorBase[[#This Row],[Multi-
Record2]]="Multi-Amount", "calc on import",LessorBase[[#This Row],[Total Amount
of Payments]]-LessorBase[[#This Row],[Present
Value]])</f>
        <v>#N/A</v>
      </c>
      <c r="AM37" s="129" t="e">
        <f>IF(LessorBase[[#This Row],[Multi-
Record2]]="Multi-Amount", "calc on import", LessorBase[[#This Row],[Present
Value]])</f>
        <v>#DIV/0!</v>
      </c>
      <c r="AN37" s="87" t="s">
        <v>295</v>
      </c>
      <c r="AO37" s="87"/>
      <c r="AP37" s="127"/>
      <c r="AQ37" s="87"/>
      <c r="AR37" s="87"/>
      <c r="AS37" s="87"/>
      <c r="AT37" s="87"/>
      <c r="AU37" s="87"/>
      <c r="AV37" s="87"/>
      <c r="AW37" s="87"/>
    </row>
    <row r="38" spans="1:49" x14ac:dyDescent="0.25">
      <c r="A38" s="87" t="s">
        <v>452</v>
      </c>
      <c r="B38" s="87">
        <f>'Agency Cover'!$B$3</f>
        <v>0</v>
      </c>
      <c r="C38" s="87"/>
      <c r="D38" s="87" t="s">
        <v>290</v>
      </c>
      <c r="E38" s="128">
        <f>COUNTIF(LessorBase[AgreementCode],LessorBase[[#This Row],[AgreementCode]])</f>
        <v>0</v>
      </c>
      <c r="F38" s="87"/>
      <c r="G38" s="128">
        <f>COUNTIF(LessorBase[AgreementTitle],LessorBase[[#This Row],[AgreementTitle]])</f>
        <v>0</v>
      </c>
      <c r="H38" s="87"/>
      <c r="I38" s="87"/>
      <c r="J38" s="87"/>
      <c r="K38" s="87"/>
      <c r="L38" s="126"/>
      <c r="M38" s="126"/>
      <c r="N38" s="126"/>
      <c r="O38" s="126"/>
      <c r="P38" s="126"/>
      <c r="Q38" s="126"/>
      <c r="R38" s="126"/>
      <c r="S38" s="131">
        <f>LEN(LessorBase[[#This Row],[Comments]])</f>
        <v>0</v>
      </c>
      <c r="T38" s="127" t="str">
        <f>LessorBase[[#This Row],[Multi-
Record]]</f>
        <v>None</v>
      </c>
      <c r="U38" s="87">
        <f>LessorBase[[#This Row],[AgreementCode]]</f>
        <v>0</v>
      </c>
      <c r="V38" s="87" t="str">
        <f>LEFT(LessorBase[[#This Row],[AgreementTitle]],50)</f>
        <v/>
      </c>
      <c r="W38" s="128">
        <f>LessorBase[[#This Row],[AgreementType]]</f>
        <v>0</v>
      </c>
      <c r="X38" s="87"/>
      <c r="Y38" s="87" t="str">
        <f>IF(LessorBase[[#This Row],[Incl. Options
End Date]] = 0, IF(ROUND(ROUND((LessorBase[[#This Row],[Initial Period
End Date]]-LessorBase[[#This Row],[Initial Period
Start Date]])/365,2)*12,0)&lt;=12,"None","Transactional"), IF(ROUND(ROUND((LessorBase[[#This Row],[Incl. Options
End Date]]-LessorBase[[#This Row],[Initial Period
Start Date]])/365,2)*12,0)&lt;=12,"None","Transactional"))</f>
        <v>None</v>
      </c>
      <c r="Z38" s="128">
        <f>LessorBase[[#This Row],[ProvisionType]]</f>
        <v>0</v>
      </c>
      <c r="AA38" s="126"/>
      <c r="AB38" s="126">
        <f>IF(LessorBase[[#This Row],[Incl. Options
End Date]]&gt;0,LessorBase[[#This Row],[Incl. Options
End Date]],LessorBase[[#This Row],[Initial Period
End Date]])</f>
        <v>0</v>
      </c>
      <c r="AC38" s="129"/>
      <c r="AD38" s="87"/>
      <c r="AE38" s="87"/>
      <c r="AF38" s="130"/>
      <c r="AG38" s="126"/>
      <c r="AH38" s="126">
        <f>IF(LessorBase[[#This Row],[Incl. Options
End Date]]&gt;0,LessorBase[[#This Row],[Incl. Options
End Date]],LessorBase[[#This Row],[Initial Period
End Date]])</f>
        <v>0</v>
      </c>
      <c r="AI38" s="128" t="e" cm="1">
        <f t="array" ref="AI38">ROUND(ROUND((LessorBase[[#This Row],[Payment
EndDate]]-LessorBase[[#This Row],[Payment
StartDate]])/365,2)*_xlfn.IFS(LessorBase[[#This Row],[Payment
Frequency]]="MO",12,LessorBase[[#This Row],[Payment
Frequency]]="QT",4,LessorBase[[#This Row],[Payment
Frequency]]="SA",2,LessorBase[[#This Row],[Payment
Frequency]]="AN",1),0)</f>
        <v>#N/A</v>
      </c>
      <c r="AJ38" s="129" t="e">
        <f>ROUND(LessorBase[[#This Row],[Payment
Amount]]*LessorBase[[#This Row],[Number of
 Payments]],2)</f>
        <v>#N/A</v>
      </c>
      <c r="AK38" s="129" t="e">
        <f>IF(LessorBase[[#This Row],[Multi-
Record2]]="Multi-Amount", "calc on import", ROUND(PV(LessorBase[[#This Row],[Annual
Rate]]/IF(LessorBase[[#This Row],[Payment
Frequency]] = "MO",12,IF(LessorBase[[#This Row],[Payment
Frequency]] = "QT",4,IF(LessorBase[[#This Row],[Payment
Frequency]] = "SA",2,IF(LessorBase[[#This Row],[Payment
Frequency]] = "AN",1,0)))),LessorBase[[#This Row],[Number of
 Payments]],LessorBase[[#This Row],[Payment
Amount]],,IF(LessorBase[[#This Row],[Payment
Timing]]="Advance",1,IF(LessorBase[[#This Row],[Payment
Timing]]="Arrears",0,"x")))*-1,2))</f>
        <v>#DIV/0!</v>
      </c>
      <c r="AL38" s="129" t="e">
        <f>IF(LessorBase[[#This Row],[Multi-
Record2]]="Multi-Amount", "calc on import",LessorBase[[#This Row],[Total Amount
of Payments]]-LessorBase[[#This Row],[Present
Value]])</f>
        <v>#N/A</v>
      </c>
      <c r="AM38" s="129" t="e">
        <f>IF(LessorBase[[#This Row],[Multi-
Record2]]="Multi-Amount", "calc on import", LessorBase[[#This Row],[Present
Value]])</f>
        <v>#DIV/0!</v>
      </c>
      <c r="AN38" s="87" t="s">
        <v>295</v>
      </c>
      <c r="AO38" s="87"/>
      <c r="AP38" s="127"/>
      <c r="AQ38" s="87"/>
      <c r="AR38" s="87"/>
      <c r="AS38" s="87"/>
      <c r="AT38" s="87"/>
      <c r="AU38" s="87"/>
      <c r="AV38" s="87"/>
      <c r="AW38" s="87"/>
    </row>
    <row r="39" spans="1:49" x14ac:dyDescent="0.25">
      <c r="A39" s="87" t="s">
        <v>452</v>
      </c>
      <c r="B39" s="87">
        <f>'Agency Cover'!$B$3</f>
        <v>0</v>
      </c>
      <c r="C39" s="87"/>
      <c r="D39" s="87" t="s">
        <v>290</v>
      </c>
      <c r="E39" s="128">
        <f>COUNTIF(LessorBase[AgreementCode],LessorBase[[#This Row],[AgreementCode]])</f>
        <v>0</v>
      </c>
      <c r="F39" s="87"/>
      <c r="G39" s="128">
        <f>COUNTIF(LessorBase[AgreementTitle],LessorBase[[#This Row],[AgreementTitle]])</f>
        <v>0</v>
      </c>
      <c r="H39" s="87"/>
      <c r="I39" s="87"/>
      <c r="J39" s="87"/>
      <c r="K39" s="87"/>
      <c r="L39" s="126"/>
      <c r="M39" s="126"/>
      <c r="N39" s="126"/>
      <c r="O39" s="126"/>
      <c r="P39" s="126"/>
      <c r="Q39" s="126"/>
      <c r="R39" s="126"/>
      <c r="S39" s="131">
        <f>LEN(LessorBase[[#This Row],[Comments]])</f>
        <v>0</v>
      </c>
      <c r="T39" s="127" t="str">
        <f>LessorBase[[#This Row],[Multi-
Record]]</f>
        <v>None</v>
      </c>
      <c r="U39" s="87">
        <f>LessorBase[[#This Row],[AgreementCode]]</f>
        <v>0</v>
      </c>
      <c r="V39" s="87" t="str">
        <f>LEFT(LessorBase[[#This Row],[AgreementTitle]],50)</f>
        <v/>
      </c>
      <c r="W39" s="128">
        <f>LessorBase[[#This Row],[AgreementType]]</f>
        <v>0</v>
      </c>
      <c r="X39" s="87"/>
      <c r="Y39" s="87" t="str">
        <f>IF(LessorBase[[#This Row],[Incl. Options
End Date]] = 0, IF(ROUND(ROUND((LessorBase[[#This Row],[Initial Period
End Date]]-LessorBase[[#This Row],[Initial Period
Start Date]])/365,2)*12,0)&lt;=12,"None","Transactional"), IF(ROUND(ROUND((LessorBase[[#This Row],[Incl. Options
End Date]]-LessorBase[[#This Row],[Initial Period
Start Date]])/365,2)*12,0)&lt;=12,"None","Transactional"))</f>
        <v>None</v>
      </c>
      <c r="Z39" s="128">
        <f>LessorBase[[#This Row],[ProvisionType]]</f>
        <v>0</v>
      </c>
      <c r="AA39" s="126"/>
      <c r="AB39" s="126">
        <f>IF(LessorBase[[#This Row],[Incl. Options
End Date]]&gt;0,LessorBase[[#This Row],[Incl. Options
End Date]],LessorBase[[#This Row],[Initial Period
End Date]])</f>
        <v>0</v>
      </c>
      <c r="AC39" s="129"/>
      <c r="AD39" s="87"/>
      <c r="AE39" s="87"/>
      <c r="AF39" s="130"/>
      <c r="AG39" s="126"/>
      <c r="AH39" s="126">
        <f>IF(LessorBase[[#This Row],[Incl. Options
End Date]]&gt;0,LessorBase[[#This Row],[Incl. Options
End Date]],LessorBase[[#This Row],[Initial Period
End Date]])</f>
        <v>0</v>
      </c>
      <c r="AI39" s="128" t="e" cm="1">
        <f t="array" ref="AI39">ROUND(ROUND((LessorBase[[#This Row],[Payment
EndDate]]-LessorBase[[#This Row],[Payment
StartDate]])/365,2)*_xlfn.IFS(LessorBase[[#This Row],[Payment
Frequency]]="MO",12,LessorBase[[#This Row],[Payment
Frequency]]="QT",4,LessorBase[[#This Row],[Payment
Frequency]]="SA",2,LessorBase[[#This Row],[Payment
Frequency]]="AN",1),0)</f>
        <v>#N/A</v>
      </c>
      <c r="AJ39" s="129" t="e">
        <f>ROUND(LessorBase[[#This Row],[Payment
Amount]]*LessorBase[[#This Row],[Number of
 Payments]],2)</f>
        <v>#N/A</v>
      </c>
      <c r="AK39" s="129" t="e">
        <f>IF(LessorBase[[#This Row],[Multi-
Record2]]="Multi-Amount", "calc on import", ROUND(PV(LessorBase[[#This Row],[Annual
Rate]]/IF(LessorBase[[#This Row],[Payment
Frequency]] = "MO",12,IF(LessorBase[[#This Row],[Payment
Frequency]] = "QT",4,IF(LessorBase[[#This Row],[Payment
Frequency]] = "SA",2,IF(LessorBase[[#This Row],[Payment
Frequency]] = "AN",1,0)))),LessorBase[[#This Row],[Number of
 Payments]],LessorBase[[#This Row],[Payment
Amount]],,IF(LessorBase[[#This Row],[Payment
Timing]]="Advance",1,IF(LessorBase[[#This Row],[Payment
Timing]]="Arrears",0,"x")))*-1,2))</f>
        <v>#DIV/0!</v>
      </c>
      <c r="AL39" s="129" t="e">
        <f>IF(LessorBase[[#This Row],[Multi-
Record2]]="Multi-Amount", "calc on import",LessorBase[[#This Row],[Total Amount
of Payments]]-LessorBase[[#This Row],[Present
Value]])</f>
        <v>#N/A</v>
      </c>
      <c r="AM39" s="129" t="e">
        <f>IF(LessorBase[[#This Row],[Multi-
Record2]]="Multi-Amount", "calc on import", LessorBase[[#This Row],[Present
Value]])</f>
        <v>#DIV/0!</v>
      </c>
      <c r="AN39" s="87" t="s">
        <v>295</v>
      </c>
      <c r="AO39" s="87"/>
      <c r="AP39" s="127"/>
      <c r="AQ39" s="87"/>
      <c r="AR39" s="87"/>
      <c r="AS39" s="87"/>
      <c r="AT39" s="87"/>
      <c r="AU39" s="87"/>
      <c r="AV39" s="87"/>
      <c r="AW39" s="87"/>
    </row>
    <row r="40" spans="1:49" x14ac:dyDescent="0.25">
      <c r="A40" s="87" t="s">
        <v>452</v>
      </c>
      <c r="B40" s="87">
        <f>'Agency Cover'!$B$3</f>
        <v>0</v>
      </c>
      <c r="C40" s="87"/>
      <c r="D40" s="87" t="s">
        <v>290</v>
      </c>
      <c r="E40" s="128">
        <f>COUNTIF(LessorBase[AgreementCode],LessorBase[[#This Row],[AgreementCode]])</f>
        <v>0</v>
      </c>
      <c r="F40" s="87"/>
      <c r="G40" s="128">
        <f>COUNTIF(LessorBase[AgreementTitle],LessorBase[[#This Row],[AgreementTitle]])</f>
        <v>0</v>
      </c>
      <c r="H40" s="87"/>
      <c r="I40" s="87"/>
      <c r="J40" s="87"/>
      <c r="K40" s="87"/>
      <c r="L40" s="126"/>
      <c r="M40" s="126"/>
      <c r="N40" s="126"/>
      <c r="O40" s="126"/>
      <c r="P40" s="126"/>
      <c r="Q40" s="126"/>
      <c r="R40" s="126"/>
      <c r="S40" s="131">
        <f>LEN(LessorBase[[#This Row],[Comments]])</f>
        <v>0</v>
      </c>
      <c r="T40" s="127" t="str">
        <f>LessorBase[[#This Row],[Multi-
Record]]</f>
        <v>None</v>
      </c>
      <c r="U40" s="87">
        <f>LessorBase[[#This Row],[AgreementCode]]</f>
        <v>0</v>
      </c>
      <c r="V40" s="87" t="str">
        <f>LEFT(LessorBase[[#This Row],[AgreementTitle]],50)</f>
        <v/>
      </c>
      <c r="W40" s="128">
        <f>LessorBase[[#This Row],[AgreementType]]</f>
        <v>0</v>
      </c>
      <c r="X40" s="87"/>
      <c r="Y40" s="87" t="str">
        <f>IF(LessorBase[[#This Row],[Incl. Options
End Date]] = 0, IF(ROUND(ROUND((LessorBase[[#This Row],[Initial Period
End Date]]-LessorBase[[#This Row],[Initial Period
Start Date]])/365,2)*12,0)&lt;=12,"None","Transactional"), IF(ROUND(ROUND((LessorBase[[#This Row],[Incl. Options
End Date]]-LessorBase[[#This Row],[Initial Period
Start Date]])/365,2)*12,0)&lt;=12,"None","Transactional"))</f>
        <v>None</v>
      </c>
      <c r="Z40" s="128">
        <f>LessorBase[[#This Row],[ProvisionType]]</f>
        <v>0</v>
      </c>
      <c r="AA40" s="126"/>
      <c r="AB40" s="126">
        <f>IF(LessorBase[[#This Row],[Incl. Options
End Date]]&gt;0,LessorBase[[#This Row],[Incl. Options
End Date]],LessorBase[[#This Row],[Initial Period
End Date]])</f>
        <v>0</v>
      </c>
      <c r="AC40" s="129"/>
      <c r="AD40" s="87"/>
      <c r="AE40" s="87"/>
      <c r="AF40" s="130"/>
      <c r="AG40" s="126"/>
      <c r="AH40" s="126">
        <f>IF(LessorBase[[#This Row],[Incl. Options
End Date]]&gt;0,LessorBase[[#This Row],[Incl. Options
End Date]],LessorBase[[#This Row],[Initial Period
End Date]])</f>
        <v>0</v>
      </c>
      <c r="AI40" s="128" t="e" cm="1">
        <f t="array" ref="AI40">ROUND(ROUND((LessorBase[[#This Row],[Payment
EndDate]]-LessorBase[[#This Row],[Payment
StartDate]])/365,2)*_xlfn.IFS(LessorBase[[#This Row],[Payment
Frequency]]="MO",12,LessorBase[[#This Row],[Payment
Frequency]]="QT",4,LessorBase[[#This Row],[Payment
Frequency]]="SA",2,LessorBase[[#This Row],[Payment
Frequency]]="AN",1),0)</f>
        <v>#N/A</v>
      </c>
      <c r="AJ40" s="129" t="e">
        <f>ROUND(LessorBase[[#This Row],[Payment
Amount]]*LessorBase[[#This Row],[Number of
 Payments]],2)</f>
        <v>#N/A</v>
      </c>
      <c r="AK40" s="129" t="e">
        <f>IF(LessorBase[[#This Row],[Multi-
Record2]]="Multi-Amount", "calc on import", ROUND(PV(LessorBase[[#This Row],[Annual
Rate]]/IF(LessorBase[[#This Row],[Payment
Frequency]] = "MO",12,IF(LessorBase[[#This Row],[Payment
Frequency]] = "QT",4,IF(LessorBase[[#This Row],[Payment
Frequency]] = "SA",2,IF(LessorBase[[#This Row],[Payment
Frequency]] = "AN",1,0)))),LessorBase[[#This Row],[Number of
 Payments]],LessorBase[[#This Row],[Payment
Amount]],,IF(LessorBase[[#This Row],[Payment
Timing]]="Advance",1,IF(LessorBase[[#This Row],[Payment
Timing]]="Arrears",0,"x")))*-1,2))</f>
        <v>#DIV/0!</v>
      </c>
      <c r="AL40" s="129" t="e">
        <f>IF(LessorBase[[#This Row],[Multi-
Record2]]="Multi-Amount", "calc on import",LessorBase[[#This Row],[Total Amount
of Payments]]-LessorBase[[#This Row],[Present
Value]])</f>
        <v>#N/A</v>
      </c>
      <c r="AM40" s="129" t="e">
        <f>IF(LessorBase[[#This Row],[Multi-
Record2]]="Multi-Amount", "calc on import", LessorBase[[#This Row],[Present
Value]])</f>
        <v>#DIV/0!</v>
      </c>
      <c r="AN40" s="87" t="s">
        <v>295</v>
      </c>
      <c r="AO40" s="87"/>
      <c r="AP40" s="127"/>
      <c r="AQ40" s="87"/>
      <c r="AR40" s="87"/>
      <c r="AS40" s="87"/>
      <c r="AT40" s="87"/>
      <c r="AU40" s="87"/>
      <c r="AV40" s="87"/>
      <c r="AW40" s="87"/>
    </row>
    <row r="41" spans="1:49" x14ac:dyDescent="0.25">
      <c r="A41" s="87" t="s">
        <v>452</v>
      </c>
      <c r="B41" s="87">
        <f>'Agency Cover'!$B$3</f>
        <v>0</v>
      </c>
      <c r="C41" s="87"/>
      <c r="D41" s="87" t="s">
        <v>290</v>
      </c>
      <c r="E41" s="128">
        <f>COUNTIF(LessorBase[AgreementCode],LessorBase[[#This Row],[AgreementCode]])</f>
        <v>0</v>
      </c>
      <c r="F41" s="87"/>
      <c r="G41" s="128">
        <f>COUNTIF(LessorBase[AgreementTitle],LessorBase[[#This Row],[AgreementTitle]])</f>
        <v>0</v>
      </c>
      <c r="H41" s="87"/>
      <c r="I41" s="87"/>
      <c r="J41" s="87"/>
      <c r="K41" s="87"/>
      <c r="L41" s="126"/>
      <c r="M41" s="126"/>
      <c r="N41" s="126"/>
      <c r="O41" s="126"/>
      <c r="P41" s="126"/>
      <c r="Q41" s="126"/>
      <c r="R41" s="126"/>
      <c r="S41" s="131">
        <f>LEN(LessorBase[[#This Row],[Comments]])</f>
        <v>0</v>
      </c>
      <c r="T41" s="127" t="str">
        <f>LessorBase[[#This Row],[Multi-
Record]]</f>
        <v>None</v>
      </c>
      <c r="U41" s="87">
        <f>LessorBase[[#This Row],[AgreementCode]]</f>
        <v>0</v>
      </c>
      <c r="V41" s="87" t="str">
        <f>LEFT(LessorBase[[#This Row],[AgreementTitle]],50)</f>
        <v/>
      </c>
      <c r="W41" s="128">
        <f>LessorBase[[#This Row],[AgreementType]]</f>
        <v>0</v>
      </c>
      <c r="X41" s="87"/>
      <c r="Y41" s="87" t="str">
        <f>IF(LessorBase[[#This Row],[Incl. Options
End Date]] = 0, IF(ROUND(ROUND((LessorBase[[#This Row],[Initial Period
End Date]]-LessorBase[[#This Row],[Initial Period
Start Date]])/365,2)*12,0)&lt;=12,"None","Transactional"), IF(ROUND(ROUND((LessorBase[[#This Row],[Incl. Options
End Date]]-LessorBase[[#This Row],[Initial Period
Start Date]])/365,2)*12,0)&lt;=12,"None","Transactional"))</f>
        <v>None</v>
      </c>
      <c r="Z41" s="128">
        <f>LessorBase[[#This Row],[ProvisionType]]</f>
        <v>0</v>
      </c>
      <c r="AA41" s="126"/>
      <c r="AB41" s="126">
        <f>IF(LessorBase[[#This Row],[Incl. Options
End Date]]&gt;0,LessorBase[[#This Row],[Incl. Options
End Date]],LessorBase[[#This Row],[Initial Period
End Date]])</f>
        <v>0</v>
      </c>
      <c r="AC41" s="129"/>
      <c r="AD41" s="87"/>
      <c r="AE41" s="87"/>
      <c r="AF41" s="130"/>
      <c r="AG41" s="126"/>
      <c r="AH41" s="126">
        <f>IF(LessorBase[[#This Row],[Incl. Options
End Date]]&gt;0,LessorBase[[#This Row],[Incl. Options
End Date]],LessorBase[[#This Row],[Initial Period
End Date]])</f>
        <v>0</v>
      </c>
      <c r="AI41" s="128" t="e" cm="1">
        <f t="array" ref="AI41">ROUND(ROUND((LessorBase[[#This Row],[Payment
EndDate]]-LessorBase[[#This Row],[Payment
StartDate]])/365,2)*_xlfn.IFS(LessorBase[[#This Row],[Payment
Frequency]]="MO",12,LessorBase[[#This Row],[Payment
Frequency]]="QT",4,LessorBase[[#This Row],[Payment
Frequency]]="SA",2,LessorBase[[#This Row],[Payment
Frequency]]="AN",1),0)</f>
        <v>#N/A</v>
      </c>
      <c r="AJ41" s="129" t="e">
        <f>ROUND(LessorBase[[#This Row],[Payment
Amount]]*LessorBase[[#This Row],[Number of
 Payments]],2)</f>
        <v>#N/A</v>
      </c>
      <c r="AK41" s="129" t="e">
        <f>IF(LessorBase[[#This Row],[Multi-
Record2]]="Multi-Amount", "calc on import", ROUND(PV(LessorBase[[#This Row],[Annual
Rate]]/IF(LessorBase[[#This Row],[Payment
Frequency]] = "MO",12,IF(LessorBase[[#This Row],[Payment
Frequency]] = "QT",4,IF(LessorBase[[#This Row],[Payment
Frequency]] = "SA",2,IF(LessorBase[[#This Row],[Payment
Frequency]] = "AN",1,0)))),LessorBase[[#This Row],[Number of
 Payments]],LessorBase[[#This Row],[Payment
Amount]],,IF(LessorBase[[#This Row],[Payment
Timing]]="Advance",1,IF(LessorBase[[#This Row],[Payment
Timing]]="Arrears",0,"x")))*-1,2))</f>
        <v>#DIV/0!</v>
      </c>
      <c r="AL41" s="129" t="e">
        <f>IF(LessorBase[[#This Row],[Multi-
Record2]]="Multi-Amount", "calc on import",LessorBase[[#This Row],[Total Amount
of Payments]]-LessorBase[[#This Row],[Present
Value]])</f>
        <v>#N/A</v>
      </c>
      <c r="AM41" s="129" t="e">
        <f>IF(LessorBase[[#This Row],[Multi-
Record2]]="Multi-Amount", "calc on import", LessorBase[[#This Row],[Present
Value]])</f>
        <v>#DIV/0!</v>
      </c>
      <c r="AN41" s="87" t="s">
        <v>295</v>
      </c>
      <c r="AO41" s="87"/>
      <c r="AP41" s="127"/>
      <c r="AQ41" s="87"/>
      <c r="AR41" s="87"/>
      <c r="AS41" s="87"/>
      <c r="AT41" s="87"/>
      <c r="AU41" s="87"/>
      <c r="AV41" s="87"/>
      <c r="AW41" s="87"/>
    </row>
    <row r="42" spans="1:49" x14ac:dyDescent="0.25">
      <c r="A42" s="87" t="s">
        <v>452</v>
      </c>
      <c r="B42" s="87">
        <f>'Agency Cover'!$B$3</f>
        <v>0</v>
      </c>
      <c r="C42" s="87"/>
      <c r="D42" s="87" t="s">
        <v>290</v>
      </c>
      <c r="E42" s="128">
        <f>COUNTIF(LessorBase[AgreementCode],LessorBase[[#This Row],[AgreementCode]])</f>
        <v>0</v>
      </c>
      <c r="F42" s="87"/>
      <c r="G42" s="128">
        <f>COUNTIF(LessorBase[AgreementTitle],LessorBase[[#This Row],[AgreementTitle]])</f>
        <v>0</v>
      </c>
      <c r="H42" s="87"/>
      <c r="I42" s="87"/>
      <c r="J42" s="87"/>
      <c r="K42" s="87"/>
      <c r="L42" s="126"/>
      <c r="M42" s="126"/>
      <c r="N42" s="126"/>
      <c r="O42" s="126"/>
      <c r="P42" s="126"/>
      <c r="Q42" s="126"/>
      <c r="R42" s="126"/>
      <c r="S42" s="131">
        <f>LEN(LessorBase[[#This Row],[Comments]])</f>
        <v>0</v>
      </c>
      <c r="T42" s="127" t="str">
        <f>LessorBase[[#This Row],[Multi-
Record]]</f>
        <v>None</v>
      </c>
      <c r="U42" s="87">
        <f>LessorBase[[#This Row],[AgreementCode]]</f>
        <v>0</v>
      </c>
      <c r="V42" s="87" t="str">
        <f>LEFT(LessorBase[[#This Row],[AgreementTitle]],50)</f>
        <v/>
      </c>
      <c r="W42" s="128">
        <f>LessorBase[[#This Row],[AgreementType]]</f>
        <v>0</v>
      </c>
      <c r="X42" s="87"/>
      <c r="Y42" s="87" t="str">
        <f>IF(LessorBase[[#This Row],[Incl. Options
End Date]] = 0, IF(ROUND(ROUND((LessorBase[[#This Row],[Initial Period
End Date]]-LessorBase[[#This Row],[Initial Period
Start Date]])/365,2)*12,0)&lt;=12,"None","Transactional"), IF(ROUND(ROUND((LessorBase[[#This Row],[Incl. Options
End Date]]-LessorBase[[#This Row],[Initial Period
Start Date]])/365,2)*12,0)&lt;=12,"None","Transactional"))</f>
        <v>None</v>
      </c>
      <c r="Z42" s="128">
        <f>LessorBase[[#This Row],[ProvisionType]]</f>
        <v>0</v>
      </c>
      <c r="AA42" s="126"/>
      <c r="AB42" s="126">
        <f>IF(LessorBase[[#This Row],[Incl. Options
End Date]]&gt;0,LessorBase[[#This Row],[Incl. Options
End Date]],LessorBase[[#This Row],[Initial Period
End Date]])</f>
        <v>0</v>
      </c>
      <c r="AC42" s="129"/>
      <c r="AD42" s="87"/>
      <c r="AE42" s="87"/>
      <c r="AF42" s="130"/>
      <c r="AG42" s="126"/>
      <c r="AH42" s="126">
        <f>IF(LessorBase[[#This Row],[Incl. Options
End Date]]&gt;0,LessorBase[[#This Row],[Incl. Options
End Date]],LessorBase[[#This Row],[Initial Period
End Date]])</f>
        <v>0</v>
      </c>
      <c r="AI42" s="128" t="e" cm="1">
        <f t="array" ref="AI42">ROUND(ROUND((LessorBase[[#This Row],[Payment
EndDate]]-LessorBase[[#This Row],[Payment
StartDate]])/365,2)*_xlfn.IFS(LessorBase[[#This Row],[Payment
Frequency]]="MO",12,LessorBase[[#This Row],[Payment
Frequency]]="QT",4,LessorBase[[#This Row],[Payment
Frequency]]="SA",2,LessorBase[[#This Row],[Payment
Frequency]]="AN",1),0)</f>
        <v>#N/A</v>
      </c>
      <c r="AJ42" s="129" t="e">
        <f>ROUND(LessorBase[[#This Row],[Payment
Amount]]*LessorBase[[#This Row],[Number of
 Payments]],2)</f>
        <v>#N/A</v>
      </c>
      <c r="AK42" s="129" t="e">
        <f>IF(LessorBase[[#This Row],[Multi-
Record2]]="Multi-Amount", "calc on import", ROUND(PV(LessorBase[[#This Row],[Annual
Rate]]/IF(LessorBase[[#This Row],[Payment
Frequency]] = "MO",12,IF(LessorBase[[#This Row],[Payment
Frequency]] = "QT",4,IF(LessorBase[[#This Row],[Payment
Frequency]] = "SA",2,IF(LessorBase[[#This Row],[Payment
Frequency]] = "AN",1,0)))),LessorBase[[#This Row],[Number of
 Payments]],LessorBase[[#This Row],[Payment
Amount]],,IF(LessorBase[[#This Row],[Payment
Timing]]="Advance",1,IF(LessorBase[[#This Row],[Payment
Timing]]="Arrears",0,"x")))*-1,2))</f>
        <v>#DIV/0!</v>
      </c>
      <c r="AL42" s="129" t="e">
        <f>IF(LessorBase[[#This Row],[Multi-
Record2]]="Multi-Amount", "calc on import",LessorBase[[#This Row],[Total Amount
of Payments]]-LessorBase[[#This Row],[Present
Value]])</f>
        <v>#N/A</v>
      </c>
      <c r="AM42" s="129" t="e">
        <f>IF(LessorBase[[#This Row],[Multi-
Record2]]="Multi-Amount", "calc on import", LessorBase[[#This Row],[Present
Value]])</f>
        <v>#DIV/0!</v>
      </c>
      <c r="AN42" s="87" t="s">
        <v>295</v>
      </c>
      <c r="AO42" s="87"/>
      <c r="AP42" s="127"/>
      <c r="AQ42" s="87"/>
      <c r="AR42" s="87"/>
      <c r="AS42" s="87"/>
      <c r="AT42" s="87"/>
      <c r="AU42" s="87"/>
      <c r="AV42" s="87"/>
      <c r="AW42" s="87"/>
    </row>
    <row r="43" spans="1:49" x14ac:dyDescent="0.25">
      <c r="A43" s="87" t="s">
        <v>452</v>
      </c>
      <c r="B43" s="87">
        <f>'Agency Cover'!$B$3</f>
        <v>0</v>
      </c>
      <c r="C43" s="87"/>
      <c r="D43" s="87" t="s">
        <v>290</v>
      </c>
      <c r="E43" s="128">
        <f>COUNTIF(LessorBase[AgreementCode],LessorBase[[#This Row],[AgreementCode]])</f>
        <v>0</v>
      </c>
      <c r="F43" s="87"/>
      <c r="G43" s="128">
        <f>COUNTIF(LessorBase[AgreementTitle],LessorBase[[#This Row],[AgreementTitle]])</f>
        <v>0</v>
      </c>
      <c r="H43" s="87"/>
      <c r="I43" s="87"/>
      <c r="J43" s="87"/>
      <c r="K43" s="87"/>
      <c r="L43" s="126"/>
      <c r="M43" s="126"/>
      <c r="N43" s="126"/>
      <c r="O43" s="126"/>
      <c r="P43" s="126"/>
      <c r="Q43" s="126"/>
      <c r="R43" s="126"/>
      <c r="S43" s="131">
        <f>LEN(LessorBase[[#This Row],[Comments]])</f>
        <v>0</v>
      </c>
      <c r="T43" s="127" t="str">
        <f>LessorBase[[#This Row],[Multi-
Record]]</f>
        <v>None</v>
      </c>
      <c r="U43" s="87">
        <f>LessorBase[[#This Row],[AgreementCode]]</f>
        <v>0</v>
      </c>
      <c r="V43" s="87" t="str">
        <f>LEFT(LessorBase[[#This Row],[AgreementTitle]],50)</f>
        <v/>
      </c>
      <c r="W43" s="128">
        <f>LessorBase[[#This Row],[AgreementType]]</f>
        <v>0</v>
      </c>
      <c r="X43" s="87"/>
      <c r="Y43" s="87" t="str">
        <f>IF(LessorBase[[#This Row],[Incl. Options
End Date]] = 0, IF(ROUND(ROUND((LessorBase[[#This Row],[Initial Period
End Date]]-LessorBase[[#This Row],[Initial Period
Start Date]])/365,2)*12,0)&lt;=12,"None","Transactional"), IF(ROUND(ROUND((LessorBase[[#This Row],[Incl. Options
End Date]]-LessorBase[[#This Row],[Initial Period
Start Date]])/365,2)*12,0)&lt;=12,"None","Transactional"))</f>
        <v>None</v>
      </c>
      <c r="Z43" s="128">
        <f>LessorBase[[#This Row],[ProvisionType]]</f>
        <v>0</v>
      </c>
      <c r="AA43" s="126"/>
      <c r="AB43" s="126">
        <f>IF(LessorBase[[#This Row],[Incl. Options
End Date]]&gt;0,LessorBase[[#This Row],[Incl. Options
End Date]],LessorBase[[#This Row],[Initial Period
End Date]])</f>
        <v>0</v>
      </c>
      <c r="AC43" s="129"/>
      <c r="AD43" s="87"/>
      <c r="AE43" s="87"/>
      <c r="AF43" s="130"/>
      <c r="AG43" s="126"/>
      <c r="AH43" s="126">
        <f>IF(LessorBase[[#This Row],[Incl. Options
End Date]]&gt;0,LessorBase[[#This Row],[Incl. Options
End Date]],LessorBase[[#This Row],[Initial Period
End Date]])</f>
        <v>0</v>
      </c>
      <c r="AI43" s="128" t="e" cm="1">
        <f t="array" ref="AI43">ROUND(ROUND((LessorBase[[#This Row],[Payment
EndDate]]-LessorBase[[#This Row],[Payment
StartDate]])/365,2)*_xlfn.IFS(LessorBase[[#This Row],[Payment
Frequency]]="MO",12,LessorBase[[#This Row],[Payment
Frequency]]="QT",4,LessorBase[[#This Row],[Payment
Frequency]]="SA",2,LessorBase[[#This Row],[Payment
Frequency]]="AN",1),0)</f>
        <v>#N/A</v>
      </c>
      <c r="AJ43" s="129" t="e">
        <f>ROUND(LessorBase[[#This Row],[Payment
Amount]]*LessorBase[[#This Row],[Number of
 Payments]],2)</f>
        <v>#N/A</v>
      </c>
      <c r="AK43" s="129" t="e">
        <f>IF(LessorBase[[#This Row],[Multi-
Record2]]="Multi-Amount", "calc on import", ROUND(PV(LessorBase[[#This Row],[Annual
Rate]]/IF(LessorBase[[#This Row],[Payment
Frequency]] = "MO",12,IF(LessorBase[[#This Row],[Payment
Frequency]] = "QT",4,IF(LessorBase[[#This Row],[Payment
Frequency]] = "SA",2,IF(LessorBase[[#This Row],[Payment
Frequency]] = "AN",1,0)))),LessorBase[[#This Row],[Number of
 Payments]],LessorBase[[#This Row],[Payment
Amount]],,IF(LessorBase[[#This Row],[Payment
Timing]]="Advance",1,IF(LessorBase[[#This Row],[Payment
Timing]]="Arrears",0,"x")))*-1,2))</f>
        <v>#DIV/0!</v>
      </c>
      <c r="AL43" s="129" t="e">
        <f>IF(LessorBase[[#This Row],[Multi-
Record2]]="Multi-Amount", "calc on import",LessorBase[[#This Row],[Total Amount
of Payments]]-LessorBase[[#This Row],[Present
Value]])</f>
        <v>#N/A</v>
      </c>
      <c r="AM43" s="129" t="e">
        <f>IF(LessorBase[[#This Row],[Multi-
Record2]]="Multi-Amount", "calc on import", LessorBase[[#This Row],[Present
Value]])</f>
        <v>#DIV/0!</v>
      </c>
      <c r="AN43" s="87" t="s">
        <v>295</v>
      </c>
      <c r="AO43" s="87"/>
      <c r="AP43" s="127"/>
      <c r="AQ43" s="87"/>
      <c r="AR43" s="87"/>
      <c r="AS43" s="87"/>
      <c r="AT43" s="87"/>
      <c r="AU43" s="87"/>
      <c r="AV43" s="87"/>
      <c r="AW43" s="87"/>
    </row>
    <row r="44" spans="1:49" x14ac:dyDescent="0.25">
      <c r="A44" s="87" t="s">
        <v>452</v>
      </c>
      <c r="B44" s="87">
        <f>'Agency Cover'!$B$3</f>
        <v>0</v>
      </c>
      <c r="C44" s="87"/>
      <c r="D44" s="87" t="s">
        <v>290</v>
      </c>
      <c r="E44" s="128">
        <f>COUNTIF(LessorBase[AgreementCode],LessorBase[[#This Row],[AgreementCode]])</f>
        <v>0</v>
      </c>
      <c r="F44" s="87"/>
      <c r="G44" s="128">
        <f>COUNTIF(LessorBase[AgreementTitle],LessorBase[[#This Row],[AgreementTitle]])</f>
        <v>0</v>
      </c>
      <c r="H44" s="87"/>
      <c r="I44" s="87"/>
      <c r="J44" s="87"/>
      <c r="K44" s="87"/>
      <c r="L44" s="126"/>
      <c r="M44" s="126"/>
      <c r="N44" s="126"/>
      <c r="O44" s="126"/>
      <c r="P44" s="126"/>
      <c r="Q44" s="126"/>
      <c r="R44" s="126"/>
      <c r="S44" s="131">
        <f>LEN(LessorBase[[#This Row],[Comments]])</f>
        <v>0</v>
      </c>
      <c r="T44" s="127" t="str">
        <f>LessorBase[[#This Row],[Multi-
Record]]</f>
        <v>None</v>
      </c>
      <c r="U44" s="87">
        <f>LessorBase[[#This Row],[AgreementCode]]</f>
        <v>0</v>
      </c>
      <c r="V44" s="87" t="str">
        <f>LEFT(LessorBase[[#This Row],[AgreementTitle]],50)</f>
        <v/>
      </c>
      <c r="W44" s="128">
        <f>LessorBase[[#This Row],[AgreementType]]</f>
        <v>0</v>
      </c>
      <c r="X44" s="87"/>
      <c r="Y44" s="87" t="str">
        <f>IF(LessorBase[[#This Row],[Incl. Options
End Date]] = 0, IF(ROUND(ROUND((LessorBase[[#This Row],[Initial Period
End Date]]-LessorBase[[#This Row],[Initial Period
Start Date]])/365,2)*12,0)&lt;=12,"None","Transactional"), IF(ROUND(ROUND((LessorBase[[#This Row],[Incl. Options
End Date]]-LessorBase[[#This Row],[Initial Period
Start Date]])/365,2)*12,0)&lt;=12,"None","Transactional"))</f>
        <v>None</v>
      </c>
      <c r="Z44" s="128">
        <f>LessorBase[[#This Row],[ProvisionType]]</f>
        <v>0</v>
      </c>
      <c r="AA44" s="126"/>
      <c r="AB44" s="126">
        <f>IF(LessorBase[[#This Row],[Incl. Options
End Date]]&gt;0,LessorBase[[#This Row],[Incl. Options
End Date]],LessorBase[[#This Row],[Initial Period
End Date]])</f>
        <v>0</v>
      </c>
      <c r="AC44" s="129"/>
      <c r="AD44" s="87"/>
      <c r="AE44" s="87"/>
      <c r="AF44" s="130"/>
      <c r="AG44" s="126"/>
      <c r="AH44" s="126">
        <f>IF(LessorBase[[#This Row],[Incl. Options
End Date]]&gt;0,LessorBase[[#This Row],[Incl. Options
End Date]],LessorBase[[#This Row],[Initial Period
End Date]])</f>
        <v>0</v>
      </c>
      <c r="AI44" s="128" t="e" cm="1">
        <f t="array" ref="AI44">ROUND(ROUND((LessorBase[[#This Row],[Payment
EndDate]]-LessorBase[[#This Row],[Payment
StartDate]])/365,2)*_xlfn.IFS(LessorBase[[#This Row],[Payment
Frequency]]="MO",12,LessorBase[[#This Row],[Payment
Frequency]]="QT",4,LessorBase[[#This Row],[Payment
Frequency]]="SA",2,LessorBase[[#This Row],[Payment
Frequency]]="AN",1),0)</f>
        <v>#N/A</v>
      </c>
      <c r="AJ44" s="129" t="e">
        <f>ROUND(LessorBase[[#This Row],[Payment
Amount]]*LessorBase[[#This Row],[Number of
 Payments]],2)</f>
        <v>#N/A</v>
      </c>
      <c r="AK44" s="129" t="e">
        <f>IF(LessorBase[[#This Row],[Multi-
Record2]]="Multi-Amount", "calc on import", ROUND(PV(LessorBase[[#This Row],[Annual
Rate]]/IF(LessorBase[[#This Row],[Payment
Frequency]] = "MO",12,IF(LessorBase[[#This Row],[Payment
Frequency]] = "QT",4,IF(LessorBase[[#This Row],[Payment
Frequency]] = "SA",2,IF(LessorBase[[#This Row],[Payment
Frequency]] = "AN",1,0)))),LessorBase[[#This Row],[Number of
 Payments]],LessorBase[[#This Row],[Payment
Amount]],,IF(LessorBase[[#This Row],[Payment
Timing]]="Advance",1,IF(LessorBase[[#This Row],[Payment
Timing]]="Arrears",0,"x")))*-1,2))</f>
        <v>#DIV/0!</v>
      </c>
      <c r="AL44" s="129" t="e">
        <f>IF(LessorBase[[#This Row],[Multi-
Record2]]="Multi-Amount", "calc on import",LessorBase[[#This Row],[Total Amount
of Payments]]-LessorBase[[#This Row],[Present
Value]])</f>
        <v>#N/A</v>
      </c>
      <c r="AM44" s="129" t="e">
        <f>IF(LessorBase[[#This Row],[Multi-
Record2]]="Multi-Amount", "calc on import", LessorBase[[#This Row],[Present
Value]])</f>
        <v>#DIV/0!</v>
      </c>
      <c r="AN44" s="87" t="s">
        <v>295</v>
      </c>
      <c r="AO44" s="87"/>
      <c r="AP44" s="127"/>
      <c r="AQ44" s="87"/>
      <c r="AR44" s="87"/>
      <c r="AS44" s="87"/>
      <c r="AT44" s="87"/>
      <c r="AU44" s="87"/>
      <c r="AV44" s="87"/>
      <c r="AW44" s="87"/>
    </row>
    <row r="45" spans="1:49" x14ac:dyDescent="0.25">
      <c r="A45" s="87" t="s">
        <v>452</v>
      </c>
      <c r="B45" s="87">
        <f>'Agency Cover'!$B$3</f>
        <v>0</v>
      </c>
      <c r="C45" s="87"/>
      <c r="D45" s="87" t="s">
        <v>290</v>
      </c>
      <c r="E45" s="128">
        <f>COUNTIF(LessorBase[AgreementCode],LessorBase[[#This Row],[AgreementCode]])</f>
        <v>0</v>
      </c>
      <c r="F45" s="87"/>
      <c r="G45" s="128">
        <f>COUNTIF(LessorBase[AgreementTitle],LessorBase[[#This Row],[AgreementTitle]])</f>
        <v>0</v>
      </c>
      <c r="H45" s="87"/>
      <c r="I45" s="87"/>
      <c r="J45" s="87"/>
      <c r="K45" s="87"/>
      <c r="L45" s="126"/>
      <c r="M45" s="126"/>
      <c r="N45" s="126"/>
      <c r="O45" s="126"/>
      <c r="P45" s="126"/>
      <c r="Q45" s="126"/>
      <c r="R45" s="126"/>
      <c r="S45" s="131">
        <f>LEN(LessorBase[[#This Row],[Comments]])</f>
        <v>0</v>
      </c>
      <c r="T45" s="127" t="str">
        <f>LessorBase[[#This Row],[Multi-
Record]]</f>
        <v>None</v>
      </c>
      <c r="U45" s="87">
        <f>LessorBase[[#This Row],[AgreementCode]]</f>
        <v>0</v>
      </c>
      <c r="V45" s="87" t="str">
        <f>LEFT(LessorBase[[#This Row],[AgreementTitle]],50)</f>
        <v/>
      </c>
      <c r="W45" s="128">
        <f>LessorBase[[#This Row],[AgreementType]]</f>
        <v>0</v>
      </c>
      <c r="X45" s="87"/>
      <c r="Y45" s="87" t="str">
        <f>IF(LessorBase[[#This Row],[Incl. Options
End Date]] = 0, IF(ROUND(ROUND((LessorBase[[#This Row],[Initial Period
End Date]]-LessorBase[[#This Row],[Initial Period
Start Date]])/365,2)*12,0)&lt;=12,"None","Transactional"), IF(ROUND(ROUND((LessorBase[[#This Row],[Incl. Options
End Date]]-LessorBase[[#This Row],[Initial Period
Start Date]])/365,2)*12,0)&lt;=12,"None","Transactional"))</f>
        <v>None</v>
      </c>
      <c r="Z45" s="128">
        <f>LessorBase[[#This Row],[ProvisionType]]</f>
        <v>0</v>
      </c>
      <c r="AA45" s="126"/>
      <c r="AB45" s="126">
        <f>IF(LessorBase[[#This Row],[Incl. Options
End Date]]&gt;0,LessorBase[[#This Row],[Incl. Options
End Date]],LessorBase[[#This Row],[Initial Period
End Date]])</f>
        <v>0</v>
      </c>
      <c r="AC45" s="129"/>
      <c r="AD45" s="87"/>
      <c r="AE45" s="87"/>
      <c r="AF45" s="130"/>
      <c r="AG45" s="126"/>
      <c r="AH45" s="126">
        <f>IF(LessorBase[[#This Row],[Incl. Options
End Date]]&gt;0,LessorBase[[#This Row],[Incl. Options
End Date]],LessorBase[[#This Row],[Initial Period
End Date]])</f>
        <v>0</v>
      </c>
      <c r="AI45" s="128" t="e" cm="1">
        <f t="array" ref="AI45">ROUND(ROUND((LessorBase[[#This Row],[Payment
EndDate]]-LessorBase[[#This Row],[Payment
StartDate]])/365,2)*_xlfn.IFS(LessorBase[[#This Row],[Payment
Frequency]]="MO",12,LessorBase[[#This Row],[Payment
Frequency]]="QT",4,LessorBase[[#This Row],[Payment
Frequency]]="SA",2,LessorBase[[#This Row],[Payment
Frequency]]="AN",1),0)</f>
        <v>#N/A</v>
      </c>
      <c r="AJ45" s="129" t="e">
        <f>ROUND(LessorBase[[#This Row],[Payment
Amount]]*LessorBase[[#This Row],[Number of
 Payments]],2)</f>
        <v>#N/A</v>
      </c>
      <c r="AK45" s="129" t="e">
        <f>IF(LessorBase[[#This Row],[Multi-
Record2]]="Multi-Amount", "calc on import", ROUND(PV(LessorBase[[#This Row],[Annual
Rate]]/IF(LessorBase[[#This Row],[Payment
Frequency]] = "MO",12,IF(LessorBase[[#This Row],[Payment
Frequency]] = "QT",4,IF(LessorBase[[#This Row],[Payment
Frequency]] = "SA",2,IF(LessorBase[[#This Row],[Payment
Frequency]] = "AN",1,0)))),LessorBase[[#This Row],[Number of
 Payments]],LessorBase[[#This Row],[Payment
Amount]],,IF(LessorBase[[#This Row],[Payment
Timing]]="Advance",1,IF(LessorBase[[#This Row],[Payment
Timing]]="Arrears",0,"x")))*-1,2))</f>
        <v>#DIV/0!</v>
      </c>
      <c r="AL45" s="129" t="e">
        <f>IF(LessorBase[[#This Row],[Multi-
Record2]]="Multi-Amount", "calc on import",LessorBase[[#This Row],[Total Amount
of Payments]]-LessorBase[[#This Row],[Present
Value]])</f>
        <v>#N/A</v>
      </c>
      <c r="AM45" s="129" t="e">
        <f>IF(LessorBase[[#This Row],[Multi-
Record2]]="Multi-Amount", "calc on import", LessorBase[[#This Row],[Present
Value]])</f>
        <v>#DIV/0!</v>
      </c>
      <c r="AN45" s="87" t="s">
        <v>295</v>
      </c>
      <c r="AO45" s="87"/>
      <c r="AP45" s="127"/>
      <c r="AQ45" s="87"/>
      <c r="AR45" s="87"/>
      <c r="AS45" s="87"/>
      <c r="AT45" s="87"/>
      <c r="AU45" s="87"/>
      <c r="AV45" s="87"/>
      <c r="AW45" s="87"/>
    </row>
    <row r="46" spans="1:49" x14ac:dyDescent="0.25">
      <c r="A46" s="87" t="s">
        <v>452</v>
      </c>
      <c r="B46" s="87">
        <f>'Agency Cover'!$B$3</f>
        <v>0</v>
      </c>
      <c r="C46" s="87"/>
      <c r="D46" s="87" t="s">
        <v>290</v>
      </c>
      <c r="E46" s="128">
        <f>COUNTIF(LessorBase[AgreementCode],LessorBase[[#This Row],[AgreementCode]])</f>
        <v>0</v>
      </c>
      <c r="F46" s="87"/>
      <c r="G46" s="128">
        <f>COUNTIF(LessorBase[AgreementTitle],LessorBase[[#This Row],[AgreementTitle]])</f>
        <v>0</v>
      </c>
      <c r="H46" s="87"/>
      <c r="I46" s="87"/>
      <c r="J46" s="87"/>
      <c r="K46" s="87"/>
      <c r="L46" s="126"/>
      <c r="M46" s="126"/>
      <c r="N46" s="126"/>
      <c r="O46" s="126"/>
      <c r="P46" s="126"/>
      <c r="Q46" s="126"/>
      <c r="R46" s="126"/>
      <c r="S46" s="131">
        <f>LEN(LessorBase[[#This Row],[Comments]])</f>
        <v>0</v>
      </c>
      <c r="T46" s="127" t="str">
        <f>LessorBase[[#This Row],[Multi-
Record]]</f>
        <v>None</v>
      </c>
      <c r="U46" s="87">
        <f>LessorBase[[#This Row],[AgreementCode]]</f>
        <v>0</v>
      </c>
      <c r="V46" s="87" t="str">
        <f>LEFT(LessorBase[[#This Row],[AgreementTitle]],50)</f>
        <v/>
      </c>
      <c r="W46" s="128">
        <f>LessorBase[[#This Row],[AgreementType]]</f>
        <v>0</v>
      </c>
      <c r="X46" s="87"/>
      <c r="Y46" s="87" t="str">
        <f>IF(LessorBase[[#This Row],[Incl. Options
End Date]] = 0, IF(ROUND(ROUND((LessorBase[[#This Row],[Initial Period
End Date]]-LessorBase[[#This Row],[Initial Period
Start Date]])/365,2)*12,0)&lt;=12,"None","Transactional"), IF(ROUND(ROUND((LessorBase[[#This Row],[Incl. Options
End Date]]-LessorBase[[#This Row],[Initial Period
Start Date]])/365,2)*12,0)&lt;=12,"None","Transactional"))</f>
        <v>None</v>
      </c>
      <c r="Z46" s="128">
        <f>LessorBase[[#This Row],[ProvisionType]]</f>
        <v>0</v>
      </c>
      <c r="AA46" s="126"/>
      <c r="AB46" s="126">
        <f>IF(LessorBase[[#This Row],[Incl. Options
End Date]]&gt;0,LessorBase[[#This Row],[Incl. Options
End Date]],LessorBase[[#This Row],[Initial Period
End Date]])</f>
        <v>0</v>
      </c>
      <c r="AC46" s="129"/>
      <c r="AD46" s="87"/>
      <c r="AE46" s="87"/>
      <c r="AF46" s="130"/>
      <c r="AG46" s="126"/>
      <c r="AH46" s="126">
        <f>IF(LessorBase[[#This Row],[Incl. Options
End Date]]&gt;0,LessorBase[[#This Row],[Incl. Options
End Date]],LessorBase[[#This Row],[Initial Period
End Date]])</f>
        <v>0</v>
      </c>
      <c r="AI46" s="128" t="e" cm="1">
        <f t="array" ref="AI46">ROUND(ROUND((LessorBase[[#This Row],[Payment
EndDate]]-LessorBase[[#This Row],[Payment
StartDate]])/365,2)*_xlfn.IFS(LessorBase[[#This Row],[Payment
Frequency]]="MO",12,LessorBase[[#This Row],[Payment
Frequency]]="QT",4,LessorBase[[#This Row],[Payment
Frequency]]="SA",2,LessorBase[[#This Row],[Payment
Frequency]]="AN",1),0)</f>
        <v>#N/A</v>
      </c>
      <c r="AJ46" s="129" t="e">
        <f>ROUND(LessorBase[[#This Row],[Payment
Amount]]*LessorBase[[#This Row],[Number of
 Payments]],2)</f>
        <v>#N/A</v>
      </c>
      <c r="AK46" s="129" t="e">
        <f>IF(LessorBase[[#This Row],[Multi-
Record2]]="Multi-Amount", "calc on import", ROUND(PV(LessorBase[[#This Row],[Annual
Rate]]/IF(LessorBase[[#This Row],[Payment
Frequency]] = "MO",12,IF(LessorBase[[#This Row],[Payment
Frequency]] = "QT",4,IF(LessorBase[[#This Row],[Payment
Frequency]] = "SA",2,IF(LessorBase[[#This Row],[Payment
Frequency]] = "AN",1,0)))),LessorBase[[#This Row],[Number of
 Payments]],LessorBase[[#This Row],[Payment
Amount]],,IF(LessorBase[[#This Row],[Payment
Timing]]="Advance",1,IF(LessorBase[[#This Row],[Payment
Timing]]="Arrears",0,"x")))*-1,2))</f>
        <v>#DIV/0!</v>
      </c>
      <c r="AL46" s="129" t="e">
        <f>IF(LessorBase[[#This Row],[Multi-
Record2]]="Multi-Amount", "calc on import",LessorBase[[#This Row],[Total Amount
of Payments]]-LessorBase[[#This Row],[Present
Value]])</f>
        <v>#N/A</v>
      </c>
      <c r="AM46" s="129" t="e">
        <f>IF(LessorBase[[#This Row],[Multi-
Record2]]="Multi-Amount", "calc on import", LessorBase[[#This Row],[Present
Value]])</f>
        <v>#DIV/0!</v>
      </c>
      <c r="AN46" s="87" t="s">
        <v>295</v>
      </c>
      <c r="AO46" s="87"/>
      <c r="AP46" s="127"/>
      <c r="AQ46" s="87"/>
      <c r="AR46" s="87"/>
      <c r="AS46" s="87"/>
      <c r="AT46" s="87"/>
      <c r="AU46" s="87"/>
      <c r="AV46" s="87"/>
      <c r="AW46" s="87"/>
    </row>
    <row r="47" spans="1:49" x14ac:dyDescent="0.25">
      <c r="A47" s="87" t="s">
        <v>452</v>
      </c>
      <c r="B47" s="87">
        <f>'Agency Cover'!$B$3</f>
        <v>0</v>
      </c>
      <c r="C47" s="87"/>
      <c r="D47" s="87" t="s">
        <v>290</v>
      </c>
      <c r="E47" s="128">
        <f>COUNTIF(LessorBase[AgreementCode],LessorBase[[#This Row],[AgreementCode]])</f>
        <v>0</v>
      </c>
      <c r="F47" s="87"/>
      <c r="G47" s="128">
        <f>COUNTIF(LessorBase[AgreementTitle],LessorBase[[#This Row],[AgreementTitle]])</f>
        <v>0</v>
      </c>
      <c r="H47" s="87"/>
      <c r="I47" s="87"/>
      <c r="J47" s="87"/>
      <c r="K47" s="87"/>
      <c r="L47" s="126"/>
      <c r="M47" s="126"/>
      <c r="N47" s="126"/>
      <c r="O47" s="126"/>
      <c r="P47" s="126"/>
      <c r="Q47" s="126"/>
      <c r="R47" s="126"/>
      <c r="S47" s="131">
        <f>LEN(LessorBase[[#This Row],[Comments]])</f>
        <v>0</v>
      </c>
      <c r="T47" s="127" t="str">
        <f>LessorBase[[#This Row],[Multi-
Record]]</f>
        <v>None</v>
      </c>
      <c r="U47" s="87">
        <f>LessorBase[[#This Row],[AgreementCode]]</f>
        <v>0</v>
      </c>
      <c r="V47" s="87" t="str">
        <f>LEFT(LessorBase[[#This Row],[AgreementTitle]],50)</f>
        <v/>
      </c>
      <c r="W47" s="128">
        <f>LessorBase[[#This Row],[AgreementType]]</f>
        <v>0</v>
      </c>
      <c r="X47" s="87"/>
      <c r="Y47" s="87" t="str">
        <f>IF(LessorBase[[#This Row],[Incl. Options
End Date]] = 0, IF(ROUND(ROUND((LessorBase[[#This Row],[Initial Period
End Date]]-LessorBase[[#This Row],[Initial Period
Start Date]])/365,2)*12,0)&lt;=12,"None","Transactional"), IF(ROUND(ROUND((LessorBase[[#This Row],[Incl. Options
End Date]]-LessorBase[[#This Row],[Initial Period
Start Date]])/365,2)*12,0)&lt;=12,"None","Transactional"))</f>
        <v>None</v>
      </c>
      <c r="Z47" s="128">
        <f>LessorBase[[#This Row],[ProvisionType]]</f>
        <v>0</v>
      </c>
      <c r="AA47" s="126"/>
      <c r="AB47" s="126">
        <f>IF(LessorBase[[#This Row],[Incl. Options
End Date]]&gt;0,LessorBase[[#This Row],[Incl. Options
End Date]],LessorBase[[#This Row],[Initial Period
End Date]])</f>
        <v>0</v>
      </c>
      <c r="AC47" s="129"/>
      <c r="AD47" s="87"/>
      <c r="AE47" s="87"/>
      <c r="AF47" s="130"/>
      <c r="AG47" s="126"/>
      <c r="AH47" s="126">
        <f>IF(LessorBase[[#This Row],[Incl. Options
End Date]]&gt;0,LessorBase[[#This Row],[Incl. Options
End Date]],LessorBase[[#This Row],[Initial Period
End Date]])</f>
        <v>0</v>
      </c>
      <c r="AI47" s="128" t="e" cm="1">
        <f t="array" ref="AI47">ROUND(ROUND((LessorBase[[#This Row],[Payment
EndDate]]-LessorBase[[#This Row],[Payment
StartDate]])/365,2)*_xlfn.IFS(LessorBase[[#This Row],[Payment
Frequency]]="MO",12,LessorBase[[#This Row],[Payment
Frequency]]="QT",4,LessorBase[[#This Row],[Payment
Frequency]]="SA",2,LessorBase[[#This Row],[Payment
Frequency]]="AN",1),0)</f>
        <v>#N/A</v>
      </c>
      <c r="AJ47" s="129" t="e">
        <f>ROUND(LessorBase[[#This Row],[Payment
Amount]]*LessorBase[[#This Row],[Number of
 Payments]],2)</f>
        <v>#N/A</v>
      </c>
      <c r="AK47" s="129" t="e">
        <f>IF(LessorBase[[#This Row],[Multi-
Record2]]="Multi-Amount", "calc on import", ROUND(PV(LessorBase[[#This Row],[Annual
Rate]]/IF(LessorBase[[#This Row],[Payment
Frequency]] = "MO",12,IF(LessorBase[[#This Row],[Payment
Frequency]] = "QT",4,IF(LessorBase[[#This Row],[Payment
Frequency]] = "SA",2,IF(LessorBase[[#This Row],[Payment
Frequency]] = "AN",1,0)))),LessorBase[[#This Row],[Number of
 Payments]],LessorBase[[#This Row],[Payment
Amount]],,IF(LessorBase[[#This Row],[Payment
Timing]]="Advance",1,IF(LessorBase[[#This Row],[Payment
Timing]]="Arrears",0,"x")))*-1,2))</f>
        <v>#DIV/0!</v>
      </c>
      <c r="AL47" s="129" t="e">
        <f>IF(LessorBase[[#This Row],[Multi-
Record2]]="Multi-Amount", "calc on import",LessorBase[[#This Row],[Total Amount
of Payments]]-LessorBase[[#This Row],[Present
Value]])</f>
        <v>#N/A</v>
      </c>
      <c r="AM47" s="129" t="e">
        <f>IF(LessorBase[[#This Row],[Multi-
Record2]]="Multi-Amount", "calc on import", LessorBase[[#This Row],[Present
Value]])</f>
        <v>#DIV/0!</v>
      </c>
      <c r="AN47" s="87" t="s">
        <v>295</v>
      </c>
      <c r="AO47" s="87"/>
      <c r="AP47" s="127"/>
      <c r="AQ47" s="87"/>
      <c r="AR47" s="87"/>
      <c r="AS47" s="87"/>
      <c r="AT47" s="87"/>
      <c r="AU47" s="87"/>
      <c r="AV47" s="87"/>
      <c r="AW47" s="87"/>
    </row>
    <row r="48" spans="1:49" x14ac:dyDescent="0.25">
      <c r="A48" s="87" t="s">
        <v>452</v>
      </c>
      <c r="B48" s="87">
        <f>'Agency Cover'!$B$3</f>
        <v>0</v>
      </c>
      <c r="C48" s="87"/>
      <c r="D48" s="87" t="s">
        <v>290</v>
      </c>
      <c r="E48" s="128">
        <f>COUNTIF(LessorBase[AgreementCode],LessorBase[[#This Row],[AgreementCode]])</f>
        <v>0</v>
      </c>
      <c r="F48" s="87"/>
      <c r="G48" s="128">
        <f>COUNTIF(LessorBase[AgreementTitle],LessorBase[[#This Row],[AgreementTitle]])</f>
        <v>0</v>
      </c>
      <c r="H48" s="87"/>
      <c r="I48" s="87"/>
      <c r="J48" s="87"/>
      <c r="K48" s="87"/>
      <c r="L48" s="126"/>
      <c r="M48" s="126"/>
      <c r="N48" s="126"/>
      <c r="O48" s="126"/>
      <c r="P48" s="126"/>
      <c r="Q48" s="126"/>
      <c r="R48" s="126"/>
      <c r="S48" s="131">
        <f>LEN(LessorBase[[#This Row],[Comments]])</f>
        <v>0</v>
      </c>
      <c r="T48" s="127" t="str">
        <f>LessorBase[[#This Row],[Multi-
Record]]</f>
        <v>None</v>
      </c>
      <c r="U48" s="87">
        <f>LessorBase[[#This Row],[AgreementCode]]</f>
        <v>0</v>
      </c>
      <c r="V48" s="87" t="str">
        <f>LEFT(LessorBase[[#This Row],[AgreementTitle]],50)</f>
        <v/>
      </c>
      <c r="W48" s="128">
        <f>LessorBase[[#This Row],[AgreementType]]</f>
        <v>0</v>
      </c>
      <c r="X48" s="87"/>
      <c r="Y48" s="87" t="str">
        <f>IF(LessorBase[[#This Row],[Incl. Options
End Date]] = 0, IF(ROUND(ROUND((LessorBase[[#This Row],[Initial Period
End Date]]-LessorBase[[#This Row],[Initial Period
Start Date]])/365,2)*12,0)&lt;=12,"None","Transactional"), IF(ROUND(ROUND((LessorBase[[#This Row],[Incl. Options
End Date]]-LessorBase[[#This Row],[Initial Period
Start Date]])/365,2)*12,0)&lt;=12,"None","Transactional"))</f>
        <v>None</v>
      </c>
      <c r="Z48" s="128">
        <f>LessorBase[[#This Row],[ProvisionType]]</f>
        <v>0</v>
      </c>
      <c r="AA48" s="126"/>
      <c r="AB48" s="126">
        <f>IF(LessorBase[[#This Row],[Incl. Options
End Date]]&gt;0,LessorBase[[#This Row],[Incl. Options
End Date]],LessorBase[[#This Row],[Initial Period
End Date]])</f>
        <v>0</v>
      </c>
      <c r="AC48" s="129"/>
      <c r="AD48" s="87"/>
      <c r="AE48" s="87"/>
      <c r="AF48" s="130"/>
      <c r="AG48" s="126"/>
      <c r="AH48" s="126">
        <f>IF(LessorBase[[#This Row],[Incl. Options
End Date]]&gt;0,LessorBase[[#This Row],[Incl. Options
End Date]],LessorBase[[#This Row],[Initial Period
End Date]])</f>
        <v>0</v>
      </c>
      <c r="AI48" s="128" t="e" cm="1">
        <f t="array" ref="AI48">ROUND(ROUND((LessorBase[[#This Row],[Payment
EndDate]]-LessorBase[[#This Row],[Payment
StartDate]])/365,2)*_xlfn.IFS(LessorBase[[#This Row],[Payment
Frequency]]="MO",12,LessorBase[[#This Row],[Payment
Frequency]]="QT",4,LessorBase[[#This Row],[Payment
Frequency]]="SA",2,LessorBase[[#This Row],[Payment
Frequency]]="AN",1),0)</f>
        <v>#N/A</v>
      </c>
      <c r="AJ48" s="129" t="e">
        <f>ROUND(LessorBase[[#This Row],[Payment
Amount]]*LessorBase[[#This Row],[Number of
 Payments]],2)</f>
        <v>#N/A</v>
      </c>
      <c r="AK48" s="129" t="e">
        <f>IF(LessorBase[[#This Row],[Multi-
Record2]]="Multi-Amount", "calc on import", ROUND(PV(LessorBase[[#This Row],[Annual
Rate]]/IF(LessorBase[[#This Row],[Payment
Frequency]] = "MO",12,IF(LessorBase[[#This Row],[Payment
Frequency]] = "QT",4,IF(LessorBase[[#This Row],[Payment
Frequency]] = "SA",2,IF(LessorBase[[#This Row],[Payment
Frequency]] = "AN",1,0)))),LessorBase[[#This Row],[Number of
 Payments]],LessorBase[[#This Row],[Payment
Amount]],,IF(LessorBase[[#This Row],[Payment
Timing]]="Advance",1,IF(LessorBase[[#This Row],[Payment
Timing]]="Arrears",0,"x")))*-1,2))</f>
        <v>#DIV/0!</v>
      </c>
      <c r="AL48" s="129" t="e">
        <f>IF(LessorBase[[#This Row],[Multi-
Record2]]="Multi-Amount", "calc on import",LessorBase[[#This Row],[Total Amount
of Payments]]-LessorBase[[#This Row],[Present
Value]])</f>
        <v>#N/A</v>
      </c>
      <c r="AM48" s="129" t="e">
        <f>IF(LessorBase[[#This Row],[Multi-
Record2]]="Multi-Amount", "calc on import", LessorBase[[#This Row],[Present
Value]])</f>
        <v>#DIV/0!</v>
      </c>
      <c r="AN48" s="87" t="s">
        <v>295</v>
      </c>
      <c r="AO48" s="87"/>
      <c r="AP48" s="127"/>
      <c r="AQ48" s="87"/>
      <c r="AR48" s="87"/>
      <c r="AS48" s="87"/>
      <c r="AT48" s="87"/>
      <c r="AU48" s="87"/>
      <c r="AV48" s="87"/>
      <c r="AW48" s="87"/>
    </row>
    <row r="49" spans="1:49" x14ac:dyDescent="0.25">
      <c r="A49" s="87" t="s">
        <v>452</v>
      </c>
      <c r="B49" s="87">
        <f>'Agency Cover'!$B$3</f>
        <v>0</v>
      </c>
      <c r="C49" s="87"/>
      <c r="D49" s="87" t="s">
        <v>290</v>
      </c>
      <c r="E49" s="128">
        <f>COUNTIF(LessorBase[AgreementCode],LessorBase[[#This Row],[AgreementCode]])</f>
        <v>0</v>
      </c>
      <c r="F49" s="87"/>
      <c r="G49" s="128">
        <f>COUNTIF(LessorBase[AgreementTitle],LessorBase[[#This Row],[AgreementTitle]])</f>
        <v>0</v>
      </c>
      <c r="H49" s="87"/>
      <c r="I49" s="87"/>
      <c r="J49" s="87"/>
      <c r="K49" s="87"/>
      <c r="L49" s="126"/>
      <c r="M49" s="126"/>
      <c r="N49" s="126"/>
      <c r="O49" s="126"/>
      <c r="P49" s="126"/>
      <c r="Q49" s="126"/>
      <c r="R49" s="126"/>
      <c r="S49" s="131">
        <f>LEN(LessorBase[[#This Row],[Comments]])</f>
        <v>0</v>
      </c>
      <c r="T49" s="127" t="str">
        <f>LessorBase[[#This Row],[Multi-
Record]]</f>
        <v>None</v>
      </c>
      <c r="U49" s="87">
        <f>LessorBase[[#This Row],[AgreementCode]]</f>
        <v>0</v>
      </c>
      <c r="V49" s="87" t="str">
        <f>LEFT(LessorBase[[#This Row],[AgreementTitle]],50)</f>
        <v/>
      </c>
      <c r="W49" s="128">
        <f>LessorBase[[#This Row],[AgreementType]]</f>
        <v>0</v>
      </c>
      <c r="X49" s="87"/>
      <c r="Y49" s="87" t="str">
        <f>IF(LessorBase[[#This Row],[Incl. Options
End Date]] = 0, IF(ROUND(ROUND((LessorBase[[#This Row],[Initial Period
End Date]]-LessorBase[[#This Row],[Initial Period
Start Date]])/365,2)*12,0)&lt;=12,"None","Transactional"), IF(ROUND(ROUND((LessorBase[[#This Row],[Incl. Options
End Date]]-LessorBase[[#This Row],[Initial Period
Start Date]])/365,2)*12,0)&lt;=12,"None","Transactional"))</f>
        <v>None</v>
      </c>
      <c r="Z49" s="128">
        <f>LessorBase[[#This Row],[ProvisionType]]</f>
        <v>0</v>
      </c>
      <c r="AA49" s="126"/>
      <c r="AB49" s="126">
        <f>IF(LessorBase[[#This Row],[Incl. Options
End Date]]&gt;0,LessorBase[[#This Row],[Incl. Options
End Date]],LessorBase[[#This Row],[Initial Period
End Date]])</f>
        <v>0</v>
      </c>
      <c r="AC49" s="129"/>
      <c r="AD49" s="87"/>
      <c r="AE49" s="87"/>
      <c r="AF49" s="130"/>
      <c r="AG49" s="126"/>
      <c r="AH49" s="126">
        <f>IF(LessorBase[[#This Row],[Incl. Options
End Date]]&gt;0,LessorBase[[#This Row],[Incl. Options
End Date]],LessorBase[[#This Row],[Initial Period
End Date]])</f>
        <v>0</v>
      </c>
      <c r="AI49" s="128" t="e" cm="1">
        <f t="array" ref="AI49">ROUND(ROUND((LessorBase[[#This Row],[Payment
EndDate]]-LessorBase[[#This Row],[Payment
StartDate]])/365,2)*_xlfn.IFS(LessorBase[[#This Row],[Payment
Frequency]]="MO",12,LessorBase[[#This Row],[Payment
Frequency]]="QT",4,LessorBase[[#This Row],[Payment
Frequency]]="SA",2,LessorBase[[#This Row],[Payment
Frequency]]="AN",1),0)</f>
        <v>#N/A</v>
      </c>
      <c r="AJ49" s="129" t="e">
        <f>ROUND(LessorBase[[#This Row],[Payment
Amount]]*LessorBase[[#This Row],[Number of
 Payments]],2)</f>
        <v>#N/A</v>
      </c>
      <c r="AK49" s="129" t="e">
        <f>IF(LessorBase[[#This Row],[Multi-
Record2]]="Multi-Amount", "calc on import", ROUND(PV(LessorBase[[#This Row],[Annual
Rate]]/IF(LessorBase[[#This Row],[Payment
Frequency]] = "MO",12,IF(LessorBase[[#This Row],[Payment
Frequency]] = "QT",4,IF(LessorBase[[#This Row],[Payment
Frequency]] = "SA",2,IF(LessorBase[[#This Row],[Payment
Frequency]] = "AN",1,0)))),LessorBase[[#This Row],[Number of
 Payments]],LessorBase[[#This Row],[Payment
Amount]],,IF(LessorBase[[#This Row],[Payment
Timing]]="Advance",1,IF(LessorBase[[#This Row],[Payment
Timing]]="Arrears",0,"x")))*-1,2))</f>
        <v>#DIV/0!</v>
      </c>
      <c r="AL49" s="129" t="e">
        <f>IF(LessorBase[[#This Row],[Multi-
Record2]]="Multi-Amount", "calc on import",LessorBase[[#This Row],[Total Amount
of Payments]]-LessorBase[[#This Row],[Present
Value]])</f>
        <v>#N/A</v>
      </c>
      <c r="AM49" s="129" t="e">
        <f>IF(LessorBase[[#This Row],[Multi-
Record2]]="Multi-Amount", "calc on import", LessorBase[[#This Row],[Present
Value]])</f>
        <v>#DIV/0!</v>
      </c>
      <c r="AN49" s="87" t="s">
        <v>295</v>
      </c>
      <c r="AO49" s="87"/>
      <c r="AP49" s="127"/>
      <c r="AQ49" s="87"/>
      <c r="AR49" s="87"/>
      <c r="AS49" s="87"/>
      <c r="AT49" s="87"/>
      <c r="AU49" s="87"/>
      <c r="AV49" s="87"/>
      <c r="AW49" s="87"/>
    </row>
    <row r="50" spans="1:49" x14ac:dyDescent="0.25">
      <c r="A50" s="87" t="s">
        <v>452</v>
      </c>
      <c r="B50" s="87">
        <f>'Agency Cover'!$B$3</f>
        <v>0</v>
      </c>
      <c r="C50" s="87"/>
      <c r="D50" s="87" t="s">
        <v>290</v>
      </c>
      <c r="E50" s="128">
        <f>COUNTIF(LessorBase[AgreementCode],LessorBase[[#This Row],[AgreementCode]])</f>
        <v>0</v>
      </c>
      <c r="F50" s="87"/>
      <c r="G50" s="128">
        <f>COUNTIF(LessorBase[AgreementTitle],LessorBase[[#This Row],[AgreementTitle]])</f>
        <v>0</v>
      </c>
      <c r="H50" s="87"/>
      <c r="I50" s="87"/>
      <c r="J50" s="87"/>
      <c r="K50" s="87"/>
      <c r="L50" s="126"/>
      <c r="M50" s="126"/>
      <c r="N50" s="126"/>
      <c r="O50" s="126"/>
      <c r="P50" s="126"/>
      <c r="Q50" s="126"/>
      <c r="R50" s="126"/>
      <c r="S50" s="131">
        <f>LEN(LessorBase[[#This Row],[Comments]])</f>
        <v>0</v>
      </c>
      <c r="T50" s="127" t="str">
        <f>LessorBase[[#This Row],[Multi-
Record]]</f>
        <v>None</v>
      </c>
      <c r="U50" s="87">
        <f>LessorBase[[#This Row],[AgreementCode]]</f>
        <v>0</v>
      </c>
      <c r="V50" s="87" t="str">
        <f>LEFT(LessorBase[[#This Row],[AgreementTitle]],50)</f>
        <v/>
      </c>
      <c r="W50" s="128">
        <f>LessorBase[[#This Row],[AgreementType]]</f>
        <v>0</v>
      </c>
      <c r="X50" s="87"/>
      <c r="Y50" s="87" t="str">
        <f>IF(LessorBase[[#This Row],[Incl. Options
End Date]] = 0, IF(ROUND(ROUND((LessorBase[[#This Row],[Initial Period
End Date]]-LessorBase[[#This Row],[Initial Period
Start Date]])/365,2)*12,0)&lt;=12,"None","Transactional"), IF(ROUND(ROUND((LessorBase[[#This Row],[Incl. Options
End Date]]-LessorBase[[#This Row],[Initial Period
Start Date]])/365,2)*12,0)&lt;=12,"None","Transactional"))</f>
        <v>None</v>
      </c>
      <c r="Z50" s="128">
        <f>LessorBase[[#This Row],[ProvisionType]]</f>
        <v>0</v>
      </c>
      <c r="AA50" s="126"/>
      <c r="AB50" s="126">
        <f>IF(LessorBase[[#This Row],[Incl. Options
End Date]]&gt;0,LessorBase[[#This Row],[Incl. Options
End Date]],LessorBase[[#This Row],[Initial Period
End Date]])</f>
        <v>0</v>
      </c>
      <c r="AC50" s="129"/>
      <c r="AD50" s="87"/>
      <c r="AE50" s="87"/>
      <c r="AF50" s="130"/>
      <c r="AG50" s="126"/>
      <c r="AH50" s="126">
        <f>IF(LessorBase[[#This Row],[Incl. Options
End Date]]&gt;0,LessorBase[[#This Row],[Incl. Options
End Date]],LessorBase[[#This Row],[Initial Period
End Date]])</f>
        <v>0</v>
      </c>
      <c r="AI50" s="128" t="e" cm="1">
        <f t="array" ref="AI50">ROUND(ROUND((LessorBase[[#This Row],[Payment
EndDate]]-LessorBase[[#This Row],[Payment
StartDate]])/365,2)*_xlfn.IFS(LessorBase[[#This Row],[Payment
Frequency]]="MO",12,LessorBase[[#This Row],[Payment
Frequency]]="QT",4,LessorBase[[#This Row],[Payment
Frequency]]="SA",2,LessorBase[[#This Row],[Payment
Frequency]]="AN",1),0)</f>
        <v>#N/A</v>
      </c>
      <c r="AJ50" s="129" t="e">
        <f>ROUND(LessorBase[[#This Row],[Payment
Amount]]*LessorBase[[#This Row],[Number of
 Payments]],2)</f>
        <v>#N/A</v>
      </c>
      <c r="AK50" s="129" t="e">
        <f>IF(LessorBase[[#This Row],[Multi-
Record2]]="Multi-Amount", "calc on import", ROUND(PV(LessorBase[[#This Row],[Annual
Rate]]/IF(LessorBase[[#This Row],[Payment
Frequency]] = "MO",12,IF(LessorBase[[#This Row],[Payment
Frequency]] = "QT",4,IF(LessorBase[[#This Row],[Payment
Frequency]] = "SA",2,IF(LessorBase[[#This Row],[Payment
Frequency]] = "AN",1,0)))),LessorBase[[#This Row],[Number of
 Payments]],LessorBase[[#This Row],[Payment
Amount]],,IF(LessorBase[[#This Row],[Payment
Timing]]="Advance",1,IF(LessorBase[[#This Row],[Payment
Timing]]="Arrears",0,"x")))*-1,2))</f>
        <v>#DIV/0!</v>
      </c>
      <c r="AL50" s="129" t="e">
        <f>IF(LessorBase[[#This Row],[Multi-
Record2]]="Multi-Amount", "calc on import",LessorBase[[#This Row],[Total Amount
of Payments]]-LessorBase[[#This Row],[Present
Value]])</f>
        <v>#N/A</v>
      </c>
      <c r="AM50" s="129" t="e">
        <f>IF(LessorBase[[#This Row],[Multi-
Record2]]="Multi-Amount", "calc on import", LessorBase[[#This Row],[Present
Value]])</f>
        <v>#DIV/0!</v>
      </c>
      <c r="AN50" s="87" t="s">
        <v>295</v>
      </c>
      <c r="AO50" s="87"/>
      <c r="AP50" s="127"/>
      <c r="AQ50" s="87"/>
      <c r="AR50" s="87"/>
      <c r="AS50" s="87"/>
      <c r="AT50" s="87"/>
      <c r="AU50" s="87"/>
      <c r="AV50" s="87"/>
      <c r="AW50" s="87"/>
    </row>
    <row r="51" spans="1:49" x14ac:dyDescent="0.25">
      <c r="A51" s="87" t="s">
        <v>452</v>
      </c>
      <c r="B51" s="87">
        <f>'Agency Cover'!$B$3</f>
        <v>0</v>
      </c>
      <c r="C51" s="87"/>
      <c r="D51" s="87" t="s">
        <v>290</v>
      </c>
      <c r="E51" s="128">
        <f>COUNTIF(LessorBase[AgreementCode],LessorBase[[#This Row],[AgreementCode]])</f>
        <v>0</v>
      </c>
      <c r="F51" s="87"/>
      <c r="G51" s="128">
        <f>COUNTIF(LessorBase[AgreementTitle],LessorBase[[#This Row],[AgreementTitle]])</f>
        <v>0</v>
      </c>
      <c r="H51" s="87"/>
      <c r="I51" s="87"/>
      <c r="J51" s="87"/>
      <c r="K51" s="87"/>
      <c r="L51" s="126"/>
      <c r="M51" s="126"/>
      <c r="N51" s="126"/>
      <c r="O51" s="126"/>
      <c r="P51" s="126"/>
      <c r="Q51" s="126"/>
      <c r="R51" s="126"/>
      <c r="S51" s="131">
        <f>LEN(LessorBase[[#This Row],[Comments]])</f>
        <v>0</v>
      </c>
      <c r="T51" s="127" t="str">
        <f>LessorBase[[#This Row],[Multi-
Record]]</f>
        <v>None</v>
      </c>
      <c r="U51" s="87">
        <f>LessorBase[[#This Row],[AgreementCode]]</f>
        <v>0</v>
      </c>
      <c r="V51" s="87" t="str">
        <f>LEFT(LessorBase[[#This Row],[AgreementTitle]],50)</f>
        <v/>
      </c>
      <c r="W51" s="128">
        <f>LessorBase[[#This Row],[AgreementType]]</f>
        <v>0</v>
      </c>
      <c r="X51" s="87"/>
      <c r="Y51" s="87" t="str">
        <f>IF(LessorBase[[#This Row],[Incl. Options
End Date]] = 0, IF(ROUND(ROUND((LessorBase[[#This Row],[Initial Period
End Date]]-LessorBase[[#This Row],[Initial Period
Start Date]])/365,2)*12,0)&lt;=12,"None","Transactional"), IF(ROUND(ROUND((LessorBase[[#This Row],[Incl. Options
End Date]]-LessorBase[[#This Row],[Initial Period
Start Date]])/365,2)*12,0)&lt;=12,"None","Transactional"))</f>
        <v>None</v>
      </c>
      <c r="Z51" s="128">
        <f>LessorBase[[#This Row],[ProvisionType]]</f>
        <v>0</v>
      </c>
      <c r="AA51" s="126"/>
      <c r="AB51" s="126">
        <f>IF(LessorBase[[#This Row],[Incl. Options
End Date]]&gt;0,LessorBase[[#This Row],[Incl. Options
End Date]],LessorBase[[#This Row],[Initial Period
End Date]])</f>
        <v>0</v>
      </c>
      <c r="AC51" s="129"/>
      <c r="AD51" s="87"/>
      <c r="AE51" s="87"/>
      <c r="AF51" s="130"/>
      <c r="AG51" s="126"/>
      <c r="AH51" s="126">
        <f>IF(LessorBase[[#This Row],[Incl. Options
End Date]]&gt;0,LessorBase[[#This Row],[Incl. Options
End Date]],LessorBase[[#This Row],[Initial Period
End Date]])</f>
        <v>0</v>
      </c>
      <c r="AI51" s="128" t="e" cm="1">
        <f t="array" ref="AI51">ROUND(ROUND((LessorBase[[#This Row],[Payment
EndDate]]-LessorBase[[#This Row],[Payment
StartDate]])/365,2)*_xlfn.IFS(LessorBase[[#This Row],[Payment
Frequency]]="MO",12,LessorBase[[#This Row],[Payment
Frequency]]="QT",4,LessorBase[[#This Row],[Payment
Frequency]]="SA",2,LessorBase[[#This Row],[Payment
Frequency]]="AN",1),0)</f>
        <v>#N/A</v>
      </c>
      <c r="AJ51" s="129" t="e">
        <f>ROUND(LessorBase[[#This Row],[Payment
Amount]]*LessorBase[[#This Row],[Number of
 Payments]],2)</f>
        <v>#N/A</v>
      </c>
      <c r="AK51" s="129" t="e">
        <f>IF(LessorBase[[#This Row],[Multi-
Record2]]="Multi-Amount", "calc on import", ROUND(PV(LessorBase[[#This Row],[Annual
Rate]]/IF(LessorBase[[#This Row],[Payment
Frequency]] = "MO",12,IF(LessorBase[[#This Row],[Payment
Frequency]] = "QT",4,IF(LessorBase[[#This Row],[Payment
Frequency]] = "SA",2,IF(LessorBase[[#This Row],[Payment
Frequency]] = "AN",1,0)))),LessorBase[[#This Row],[Number of
 Payments]],LessorBase[[#This Row],[Payment
Amount]],,IF(LessorBase[[#This Row],[Payment
Timing]]="Advance",1,IF(LessorBase[[#This Row],[Payment
Timing]]="Arrears",0,"x")))*-1,2))</f>
        <v>#DIV/0!</v>
      </c>
      <c r="AL51" s="129" t="e">
        <f>IF(LessorBase[[#This Row],[Multi-
Record2]]="Multi-Amount", "calc on import",LessorBase[[#This Row],[Total Amount
of Payments]]-LessorBase[[#This Row],[Present
Value]])</f>
        <v>#N/A</v>
      </c>
      <c r="AM51" s="129" t="e">
        <f>IF(LessorBase[[#This Row],[Multi-
Record2]]="Multi-Amount", "calc on import", LessorBase[[#This Row],[Present
Value]])</f>
        <v>#DIV/0!</v>
      </c>
      <c r="AN51" s="87" t="s">
        <v>295</v>
      </c>
      <c r="AO51" s="87"/>
      <c r="AP51" s="127"/>
      <c r="AQ51" s="87"/>
      <c r="AR51" s="87"/>
      <c r="AS51" s="87"/>
      <c r="AT51" s="87"/>
      <c r="AU51" s="87"/>
      <c r="AV51" s="87"/>
      <c r="AW51" s="87"/>
    </row>
    <row r="52" spans="1:49" x14ac:dyDescent="0.25">
      <c r="A52" s="87" t="s">
        <v>452</v>
      </c>
      <c r="B52" s="87">
        <f>'Agency Cover'!$B$3</f>
        <v>0</v>
      </c>
      <c r="C52" s="87"/>
      <c r="D52" s="87" t="s">
        <v>290</v>
      </c>
      <c r="E52" s="128">
        <f>COUNTIF(LessorBase[AgreementCode],LessorBase[[#This Row],[AgreementCode]])</f>
        <v>0</v>
      </c>
      <c r="F52" s="87"/>
      <c r="G52" s="128">
        <f>COUNTIF(LessorBase[AgreementTitle],LessorBase[[#This Row],[AgreementTitle]])</f>
        <v>0</v>
      </c>
      <c r="H52" s="87"/>
      <c r="I52" s="87"/>
      <c r="J52" s="87"/>
      <c r="K52" s="87"/>
      <c r="L52" s="126"/>
      <c r="M52" s="126"/>
      <c r="N52" s="126"/>
      <c r="O52" s="126"/>
      <c r="P52" s="126"/>
      <c r="Q52" s="126"/>
      <c r="R52" s="126"/>
      <c r="S52" s="131">
        <f>LEN(LessorBase[[#This Row],[Comments]])</f>
        <v>0</v>
      </c>
      <c r="T52" s="127" t="str">
        <f>LessorBase[[#This Row],[Multi-
Record]]</f>
        <v>None</v>
      </c>
      <c r="U52" s="87">
        <f>LessorBase[[#This Row],[AgreementCode]]</f>
        <v>0</v>
      </c>
      <c r="V52" s="87" t="str">
        <f>LEFT(LessorBase[[#This Row],[AgreementTitle]],50)</f>
        <v/>
      </c>
      <c r="W52" s="128">
        <f>LessorBase[[#This Row],[AgreementType]]</f>
        <v>0</v>
      </c>
      <c r="X52" s="87"/>
      <c r="Y52" s="87" t="str">
        <f>IF(LessorBase[[#This Row],[Incl. Options
End Date]] = 0, IF(ROUND(ROUND((LessorBase[[#This Row],[Initial Period
End Date]]-LessorBase[[#This Row],[Initial Period
Start Date]])/365,2)*12,0)&lt;=12,"None","Transactional"), IF(ROUND(ROUND((LessorBase[[#This Row],[Incl. Options
End Date]]-LessorBase[[#This Row],[Initial Period
Start Date]])/365,2)*12,0)&lt;=12,"None","Transactional"))</f>
        <v>None</v>
      </c>
      <c r="Z52" s="128">
        <f>LessorBase[[#This Row],[ProvisionType]]</f>
        <v>0</v>
      </c>
      <c r="AA52" s="126"/>
      <c r="AB52" s="126">
        <f>IF(LessorBase[[#This Row],[Incl. Options
End Date]]&gt;0,LessorBase[[#This Row],[Incl. Options
End Date]],LessorBase[[#This Row],[Initial Period
End Date]])</f>
        <v>0</v>
      </c>
      <c r="AC52" s="129"/>
      <c r="AD52" s="87"/>
      <c r="AE52" s="87"/>
      <c r="AF52" s="130"/>
      <c r="AG52" s="126"/>
      <c r="AH52" s="126">
        <f>IF(LessorBase[[#This Row],[Incl. Options
End Date]]&gt;0,LessorBase[[#This Row],[Incl. Options
End Date]],LessorBase[[#This Row],[Initial Period
End Date]])</f>
        <v>0</v>
      </c>
      <c r="AI52" s="128" t="e" cm="1">
        <f t="array" ref="AI52">ROUND(ROUND((LessorBase[[#This Row],[Payment
EndDate]]-LessorBase[[#This Row],[Payment
StartDate]])/365,2)*_xlfn.IFS(LessorBase[[#This Row],[Payment
Frequency]]="MO",12,LessorBase[[#This Row],[Payment
Frequency]]="QT",4,LessorBase[[#This Row],[Payment
Frequency]]="SA",2,LessorBase[[#This Row],[Payment
Frequency]]="AN",1),0)</f>
        <v>#N/A</v>
      </c>
      <c r="AJ52" s="129" t="e">
        <f>ROUND(LessorBase[[#This Row],[Payment
Amount]]*LessorBase[[#This Row],[Number of
 Payments]],2)</f>
        <v>#N/A</v>
      </c>
      <c r="AK52" s="129" t="e">
        <f>IF(LessorBase[[#This Row],[Multi-
Record2]]="Multi-Amount", "calc on import", ROUND(PV(LessorBase[[#This Row],[Annual
Rate]]/IF(LessorBase[[#This Row],[Payment
Frequency]] = "MO",12,IF(LessorBase[[#This Row],[Payment
Frequency]] = "QT",4,IF(LessorBase[[#This Row],[Payment
Frequency]] = "SA",2,IF(LessorBase[[#This Row],[Payment
Frequency]] = "AN",1,0)))),LessorBase[[#This Row],[Number of
 Payments]],LessorBase[[#This Row],[Payment
Amount]],,IF(LessorBase[[#This Row],[Payment
Timing]]="Advance",1,IF(LessorBase[[#This Row],[Payment
Timing]]="Arrears",0,"x")))*-1,2))</f>
        <v>#DIV/0!</v>
      </c>
      <c r="AL52" s="129" t="e">
        <f>IF(LessorBase[[#This Row],[Multi-
Record2]]="Multi-Amount", "calc on import",LessorBase[[#This Row],[Total Amount
of Payments]]-LessorBase[[#This Row],[Present
Value]])</f>
        <v>#N/A</v>
      </c>
      <c r="AM52" s="129" t="e">
        <f>IF(LessorBase[[#This Row],[Multi-
Record2]]="Multi-Amount", "calc on import", LessorBase[[#This Row],[Present
Value]])</f>
        <v>#DIV/0!</v>
      </c>
      <c r="AN52" s="87" t="s">
        <v>295</v>
      </c>
      <c r="AO52" s="87"/>
      <c r="AP52" s="127"/>
      <c r="AQ52" s="87"/>
      <c r="AR52" s="87"/>
      <c r="AS52" s="87"/>
      <c r="AT52" s="87"/>
      <c r="AU52" s="87"/>
      <c r="AV52" s="87"/>
      <c r="AW52" s="87"/>
    </row>
    <row r="53" spans="1:49" x14ac:dyDescent="0.25">
      <c r="A53" t="s">
        <v>452</v>
      </c>
      <c r="B53">
        <f>'Agency Cover'!$B$3</f>
        <v>0</v>
      </c>
      <c r="C53" t="s">
        <v>649</v>
      </c>
      <c r="D53" s="87" t="s">
        <v>290</v>
      </c>
      <c r="E53" s="15">
        <f>COUNTIF(LessorBase[AgreementCode],LessorBase[[#This Row],[AgreementCode]])</f>
        <v>1</v>
      </c>
      <c r="F53" t="s">
        <v>657</v>
      </c>
      <c r="G53" s="15">
        <f>COUNTIF(LessorBase[AgreementTitle],LessorBase[[#This Row],[AgreementTitle]])</f>
        <v>1</v>
      </c>
      <c r="R53" s="17"/>
      <c r="S53" s="25">
        <f>LEN(LessorBase[[#This Row],[Comments]])</f>
        <v>0</v>
      </c>
      <c r="T53" s="106" t="str">
        <f>LessorBase[[#This Row],[Multi-
Record]]</f>
        <v>None</v>
      </c>
      <c r="U53" t="str">
        <f>LessorBase[[#This Row],[AgreementCode]]</f>
        <v>Formula  Row</v>
      </c>
      <c r="V53" t="str">
        <f>LEFT(LessorBase[[#This Row],[AgreementTitle]],50)</f>
        <v>Formula Row - DO NOT DELETE - Copy of Needed</v>
      </c>
      <c r="W53" s="15">
        <f>LessorBase[[#This Row],[AgreementType]]</f>
        <v>0</v>
      </c>
      <c r="Y53" t="str">
        <f>IF(LessorBase[[#This Row],[Incl. Options
End Date]] = 0, IF(ROUND(ROUND((LessorBase[[#This Row],[Initial Period
End Date]]-LessorBase[[#This Row],[Initial Period
Start Date]])/365,2)*12,0)&lt;=12,"None","Transactional"), IF(ROUND(ROUND((LessorBase[[#This Row],[Incl. Options
End Date]]-LessorBase[[#This Row],[Initial Period
Start Date]])/365,2)*12,0)&lt;=12,"None","Transactional"))</f>
        <v>None</v>
      </c>
      <c r="Z53" s="15">
        <f>LessorBase[[#This Row],[ProvisionType]]</f>
        <v>0</v>
      </c>
      <c r="AB53" s="17">
        <f>IF(LessorBase[[#This Row],[Incl. Options
End Date]]&gt;0,LessorBase[[#This Row],[Incl. Options
End Date]],LessorBase[[#This Row],[Initial Period
End Date]])</f>
        <v>0</v>
      </c>
      <c r="AH53" s="17">
        <f>IF(LessorBase[[#This Row],[Incl. Options
End Date]]&gt;0,LessorBase[[#This Row],[Incl. Options
End Date]],LessorBase[[#This Row],[Initial Period
End Date]])</f>
        <v>0</v>
      </c>
      <c r="AI53" s="15" t="e" cm="1">
        <f t="array" ref="AI53">ROUND(ROUND((LessorBase[[#This Row],[Payment
EndDate]]-LessorBase[[#This Row],[Payment
StartDate]])/365,2)*_xlfn.IFS(LessorBase[[#This Row],[Payment
Frequency]]="MO",12,LessorBase[[#This Row],[Payment
Frequency]]="QT",4,LessorBase[[#This Row],[Payment
Frequency]]="SA",2,LessorBase[[#This Row],[Payment
Frequency]]="AN",1),0)</f>
        <v>#N/A</v>
      </c>
      <c r="AJ53" s="19" t="e">
        <f>ROUND(LessorBase[[#This Row],[Payment
Amount]]*LessorBase[[#This Row],[Number of
 Payments]],2)</f>
        <v>#N/A</v>
      </c>
      <c r="AK53" s="19" t="e">
        <f>IF(LessorBase[[#This Row],[Multi-
Record2]]="Multi-Amount", "calc on import", ROUND(PV(LessorBase[[#This Row],[Annual
Rate]]/IF(LessorBase[[#This Row],[Payment
Frequency]] = "MO",12,IF(LessorBase[[#This Row],[Payment
Frequency]] = "QT",4,IF(LessorBase[[#This Row],[Payment
Frequency]] = "SA",2,IF(LessorBase[[#This Row],[Payment
Frequency]] = "AN",1,0)))),LessorBase[[#This Row],[Number of
 Payments]],LessorBase[[#This Row],[Payment
Amount]],,IF(LessorBase[[#This Row],[Payment
Timing]]="Advance",1,IF(LessorBase[[#This Row],[Payment
Timing]]="Arrears",0,"x")))*-1,2))</f>
        <v>#DIV/0!</v>
      </c>
      <c r="AL53" s="19" t="e">
        <f>IF(LessorBase[[#This Row],[Multi-
Record2]]="Multi-Amount", "calc on import",LessorBase[[#This Row],[Total Amount
of Payments]]-LessorBase[[#This Row],[Present
Value]])</f>
        <v>#N/A</v>
      </c>
      <c r="AM53" s="19" t="e">
        <f>IF(LessorBase[[#This Row],[Multi-
Record2]]="Multi-Amount", "calc on import", LessorBase[[#This Row],[Present
Value]])</f>
        <v>#DIV/0!</v>
      </c>
      <c r="AN53" t="s">
        <v>295</v>
      </c>
    </row>
  </sheetData>
  <sheetProtection algorithmName="SHA-512" hashValue="DNVSnutpYu50x+g1zPKUF2/MUIQV78BHyaL8rmQ+93F3wW+u+APSWUZPJhdy2oTLt+G6GYPruBf1dFVx6TIk6w==" saltValue="sCXg/Uvxc0RVM/vVWUNK5Q==" spinCount="100000" sheet="1" objects="1" scenarios="1" insertRows="0" deleteRows="0" autoFilter="0"/>
  <phoneticPr fontId="9" type="noConversion"/>
  <conditionalFormatting sqref="E6:E53">
    <cfRule type="cellIs" dxfId="109" priority="70" operator="greaterThan">
      <formula>1</formula>
    </cfRule>
  </conditionalFormatting>
  <conditionalFormatting sqref="E3">
    <cfRule type="containsText" dxfId="108" priority="65" operator="containsText" text="Error: 0">
      <formula>NOT(ISERROR(SEARCH("Error: 0",E3)))</formula>
    </cfRule>
  </conditionalFormatting>
  <conditionalFormatting sqref="G6:G53">
    <cfRule type="cellIs" dxfId="107" priority="64" operator="greaterThan">
      <formula>1</formula>
    </cfRule>
  </conditionalFormatting>
  <conditionalFormatting sqref="G3">
    <cfRule type="containsText" dxfId="106" priority="63" operator="containsText" text="Error: 0">
      <formula>NOT(ISERROR(SEARCH("Error: 0",G3)))</formula>
    </cfRule>
  </conditionalFormatting>
  <conditionalFormatting sqref="S6">
    <cfRule type="cellIs" dxfId="105" priority="62" operator="greaterThan">
      <formula>300</formula>
    </cfRule>
  </conditionalFormatting>
  <conditionalFormatting sqref="S3">
    <cfRule type="containsText" dxfId="104" priority="61" operator="containsText" text="Error: 0">
      <formula>NOT(ISERROR(SEARCH("Error: 0",S3)))</formula>
    </cfRule>
  </conditionalFormatting>
  <conditionalFormatting sqref="C3:D3">
    <cfRule type="containsText" dxfId="103" priority="59" operator="containsText" text="Error: 0">
      <formula>NOT(ISERROR(SEARCH("Error: 0",C3)))</formula>
    </cfRule>
  </conditionalFormatting>
  <conditionalFormatting sqref="F3">
    <cfRule type="containsText" dxfId="102" priority="58" operator="containsText" text="Error: 0">
      <formula>NOT(ISERROR(SEARCH("Error: 0",F3)))</formula>
    </cfRule>
  </conditionalFormatting>
  <conditionalFormatting sqref="I3">
    <cfRule type="containsText" dxfId="101" priority="57" operator="containsText" text="Error: 0">
      <formula>NOT(ISERROR(SEARCH("Error: 0",I3)))</formula>
    </cfRule>
  </conditionalFormatting>
  <conditionalFormatting sqref="J3">
    <cfRule type="containsText" dxfId="100" priority="56" operator="containsText" text="Error: 0">
      <formula>NOT(ISERROR(SEARCH("Error: 0",J3)))</formula>
    </cfRule>
  </conditionalFormatting>
  <conditionalFormatting sqref="K3">
    <cfRule type="containsText" dxfId="99" priority="55" operator="containsText" text="Error: 0">
      <formula>NOT(ISERROR(SEARCH("Error: 0",K3)))</formula>
    </cfRule>
  </conditionalFormatting>
  <conditionalFormatting sqref="U3">
    <cfRule type="containsText" dxfId="98" priority="54" operator="containsText" text="Error: 0">
      <formula>NOT(ISERROR(SEARCH("Error: 0",U3)))</formula>
    </cfRule>
  </conditionalFormatting>
  <conditionalFormatting sqref="V3">
    <cfRule type="containsText" dxfId="97" priority="53" operator="containsText" text="Error: 0">
      <formula>NOT(ISERROR(SEARCH("Error: 0",V3)))</formula>
    </cfRule>
  </conditionalFormatting>
  <conditionalFormatting sqref="W3">
    <cfRule type="containsText" dxfId="96" priority="52" operator="containsText" text="Error: 0">
      <formula>NOT(ISERROR(SEARCH("Error: 0",W3)))</formula>
    </cfRule>
  </conditionalFormatting>
  <conditionalFormatting sqref="Y3">
    <cfRule type="containsText" dxfId="95" priority="51" operator="containsText" text="Error: 0">
      <formula>NOT(ISERROR(SEARCH("Error: 0",Y3)))</formula>
    </cfRule>
  </conditionalFormatting>
  <conditionalFormatting sqref="Z3">
    <cfRule type="containsText" dxfId="94" priority="50" operator="containsText" text="Error: 0">
      <formula>NOT(ISERROR(SEARCH("Error: 0",Z3)))</formula>
    </cfRule>
  </conditionalFormatting>
  <conditionalFormatting sqref="AA3">
    <cfRule type="containsText" dxfId="93" priority="49" operator="containsText" text="Error: 0">
      <formula>NOT(ISERROR(SEARCH("Error: 0",AA3)))</formula>
    </cfRule>
  </conditionalFormatting>
  <conditionalFormatting sqref="AB3">
    <cfRule type="containsText" dxfId="92" priority="48" operator="containsText" text="Error: 0">
      <formula>NOT(ISERROR(SEARCH("Error: 0",AB3)))</formula>
    </cfRule>
  </conditionalFormatting>
  <conditionalFormatting sqref="AC3">
    <cfRule type="containsText" dxfId="91" priority="47" operator="containsText" text="Error: 0">
      <formula>NOT(ISERROR(SEARCH("Error: 0",AC3)))</formula>
    </cfRule>
  </conditionalFormatting>
  <conditionalFormatting sqref="AD3">
    <cfRule type="containsText" dxfId="90" priority="46" operator="containsText" text="Error: 0">
      <formula>NOT(ISERROR(SEARCH("Error: 0",AD3)))</formula>
    </cfRule>
  </conditionalFormatting>
  <conditionalFormatting sqref="AE3">
    <cfRule type="containsText" dxfId="89" priority="45" operator="containsText" text="Error: 0">
      <formula>NOT(ISERROR(SEARCH("Error: 0",AE3)))</formula>
    </cfRule>
  </conditionalFormatting>
  <conditionalFormatting sqref="AF3">
    <cfRule type="containsText" dxfId="88" priority="44" operator="containsText" text="Error: 0">
      <formula>NOT(ISERROR(SEARCH("Error: 0",AF3)))</formula>
    </cfRule>
  </conditionalFormatting>
  <conditionalFormatting sqref="AG3">
    <cfRule type="containsText" dxfId="87" priority="43" operator="containsText" text="Error: 0">
      <formula>NOT(ISERROR(SEARCH("Error: 0",AG3)))</formula>
    </cfRule>
  </conditionalFormatting>
  <conditionalFormatting sqref="AH3">
    <cfRule type="containsText" dxfId="86" priority="42" operator="containsText" text="Error: 0">
      <formula>NOT(ISERROR(SEARCH("Error: 0",AH3)))</formula>
    </cfRule>
  </conditionalFormatting>
  <conditionalFormatting sqref="AM3">
    <cfRule type="containsText" dxfId="85" priority="41" operator="containsText" text="Error: 0">
      <formula>NOT(ISERROR(SEARCH("Error: 0",AM3)))</formula>
    </cfRule>
  </conditionalFormatting>
  <conditionalFormatting sqref="AN3">
    <cfRule type="containsText" dxfId="84" priority="38" operator="containsText" text="Error: 0">
      <formula>NOT(ISERROR(SEARCH("Error: 0",AN3)))</formula>
    </cfRule>
  </conditionalFormatting>
  <conditionalFormatting sqref="L3:M3">
    <cfRule type="containsText" dxfId="83" priority="30" operator="containsText" text="Error: 0">
      <formula>NOT(ISERROR(SEARCH("Error: 0",L3)))</formula>
    </cfRule>
  </conditionalFormatting>
  <conditionalFormatting sqref="AH6">
    <cfRule type="cellIs" dxfId="82" priority="27" operator="equal">
      <formula>0</formula>
    </cfRule>
  </conditionalFormatting>
  <conditionalFormatting sqref="AH7:AH9">
    <cfRule type="cellIs" dxfId="81" priority="26" operator="equal">
      <formula>0</formula>
    </cfRule>
  </conditionalFormatting>
  <conditionalFormatting sqref="AB6">
    <cfRule type="cellIs" dxfId="80" priority="21" operator="equal">
      <formula>0</formula>
    </cfRule>
  </conditionalFormatting>
  <conditionalFormatting sqref="AB7:AB10">
    <cfRule type="cellIs" dxfId="79" priority="20" operator="equal">
      <formula>0</formula>
    </cfRule>
  </conditionalFormatting>
  <conditionalFormatting sqref="S7:S10">
    <cfRule type="cellIs" dxfId="78" priority="18" operator="greaterThan">
      <formula>300</formula>
    </cfRule>
  </conditionalFormatting>
  <conditionalFormatting sqref="Z6:AW53">
    <cfRule type="expression" dxfId="77" priority="3" stopIfTrue="1">
      <formula>$Y6="None"</formula>
    </cfRule>
  </conditionalFormatting>
  <conditionalFormatting sqref="E11:E53">
    <cfRule type="cellIs" dxfId="76" priority="9" operator="greaterThan">
      <formula>1</formula>
    </cfRule>
  </conditionalFormatting>
  <conditionalFormatting sqref="G11:G53">
    <cfRule type="cellIs" dxfId="75" priority="8" operator="greaterThan">
      <formula>1</formula>
    </cfRule>
  </conditionalFormatting>
  <conditionalFormatting sqref="AB6:AB53">
    <cfRule type="cellIs" dxfId="74" priority="7" operator="equal">
      <formula>0</formula>
    </cfRule>
  </conditionalFormatting>
  <conditionalFormatting sqref="S11:S53">
    <cfRule type="cellIs" dxfId="73" priority="4" operator="greaterThan">
      <formula>300</formula>
    </cfRule>
  </conditionalFormatting>
  <conditionalFormatting sqref="T3">
    <cfRule type="containsText" dxfId="72" priority="1" operator="containsText" text="Error: 0">
      <formula>NOT(ISERROR(SEARCH("Error: 0",T3)))</formula>
    </cfRule>
  </conditionalFormatting>
  <dataValidations xWindow="929" yWindow="374" count="24">
    <dataValidation type="textLength" showErrorMessage="1" errorTitle="Input Error" error="Enter unique 12-character code:_x000a_3-digit agency-YYYY-###_x000a_Example: 020-2019-003" promptTitle="Field is Rquired" prompt="Enter unique 12-character code:_x000a_3-digit agency-YYYY-###_x000a_Example: 020-2019-003" sqref="C6:C53" xr:uid="{00000000-0002-0000-0400-000000000000}">
      <formula1>12</formula1>
      <formula2>12</formula2>
    </dataValidation>
    <dataValidation type="textLength" showErrorMessage="1" errorTitle="Data Input Error" error="Title is required and the title cannot excced 75 characters, including spaces." promptTitle="Agreement Title Required" prompt="This field is required and must be unique across all agencies.  Maximum 75 chanarcters.  Inlcude agency number to ensure uniqueness." sqref="F6:F53" xr:uid="{00000000-0002-0000-0400-000001000000}">
      <formula1>1</formula1>
      <formula2>75</formula2>
    </dataValidation>
    <dataValidation type="textLength" allowBlank="1" showErrorMessage="1" errorTitle="Maximum Length Exceeded" error="There is a 12-character maximum length on this field, including spaces." promptTitle="Optional Field" prompt="Data is an optional reference.  There is a 12-character maximum length if used." sqref="H6:H53" xr:uid="{00000000-0002-0000-0400-000002000000}">
      <formula1>0</formula1>
      <formula2>12</formula2>
    </dataValidation>
    <dataValidation type="textLength" showErrorMessage="1" errorTitle="Input Error" error="Required field;_x000a_No more than 12 characters" promptTitle="Provision Reference Required" prompt="This field is required;_x000a_There is a 12-character maximum length, including spaces" sqref="U6:U53" xr:uid="{00000000-0002-0000-0400-000003000000}">
      <formula1>1</formula1>
      <formula2>12</formula2>
    </dataValidation>
    <dataValidation type="textLength" showErrorMessage="1" errorTitle="Input Error" error="Required field;_x000a_No more than 50 characters" promptTitle="Provision Reference Required" prompt="This field is required;_x000a_There is a 50-character maximum length, including spaces" sqref="V6:V53" xr:uid="{00000000-0002-0000-0400-000004000000}">
      <formula1>1</formula1>
      <formula2>50</formula2>
    </dataValidation>
    <dataValidation type="date" showErrorMessage="1" errorTitle="Input Error" error="Please enter a valid date." sqref="AA6:AA53" xr:uid="{00000000-0002-0000-0400-000005000000}">
      <formula1>29221</formula1>
      <formula2>88025</formula2>
    </dataValidation>
    <dataValidation type="decimal" allowBlank="1" showErrorMessage="1" errorTitle="Input Error" error="The Payment Amount must be greater than zero (0)." promptTitle="Payment Amount Entry" prompt="Enter the amount of the routine, periodic payment." sqref="AC6:AC53" xr:uid="{00000000-0002-0000-0400-000006000000}">
      <formula1>0.01</formula1>
      <formula2>999999999.99</formula2>
    </dataValidation>
    <dataValidation type="list" showErrorMessage="1" errorTitle="Input Error" error="You must select a value from the list." promptTitle="Payment Frequency Selection" prompt="Select a Payment Freqency from the list." sqref="AD6:AD53" xr:uid="{00000000-0002-0000-0400-000007000000}">
      <formula1>"MO, QT, SA, AN"</formula1>
    </dataValidation>
    <dataValidation type="list" showErrorMessage="1" errorTitle="Input Error" error="You must select a value from the list." promptTitle="Payment Timing Selection" prompt="Select a Payment Timing from the list." sqref="AE6:AE53" xr:uid="{00000000-0002-0000-0400-000008000000}">
      <formula1>"Advance, Arrears"</formula1>
    </dataValidation>
    <dataValidation type="textLength" operator="lessThanOrEqual" allowBlank="1" showErrorMessage="1" errorTitle="Input Error" error="100 character maximum has been exceeded." promptTitle="Related Party Lease Designation" prompt="If this is a Related Party lease, enter the name of the related party (100 character maximum, including spaces)." sqref="AO6:AO53" xr:uid="{00000000-0002-0000-0400-000009000000}">
      <formula1>100</formula1>
    </dataValidation>
    <dataValidation type="list" allowBlank="1" showErrorMessage="1" errorTitle="Input Error" error="Select a value from the list." promptTitle="Sale Leaseback Designation" prompt="Indicate a Sale / Leaseback with a Y." sqref="AP6:AP53" xr:uid="{00000000-0002-0000-0400-00000A000000}">
      <formula1>"Y, N"</formula1>
    </dataValidation>
    <dataValidation type="textLength" allowBlank="1" showErrorMessage="1" errorTitle="Input Error" error="Enter 12-character code:_x000a_3-digit agency-YYYY-###_x000a_Example: 020-2019-003" promptTitle="Lease/Leaseback Designation" prompt="Enter 12-character code of the related lease:_x000a_3-digit agency-YYYY-###_x000a_Example: 020-2019-003" sqref="AQ6:AQ53" xr:uid="{00000000-0002-0000-0400-00000B000000}">
      <formula1>12</formula1>
      <formula2>12</formula2>
    </dataValidation>
    <dataValidation type="list" showErrorMessage="1" errorTitle="Input Error" error="You must select a value from the list." promptTitle="Agreement Type Selection" prompt="Required data;_x000a_Select a value from the list." sqref="I6:I53" xr:uid="{00000000-0002-0000-0400-00000C000000}">
      <formula1>AgrmtTypeLU</formula1>
    </dataValidation>
    <dataValidation type="list" showErrorMessage="1" errorTitle="Input Error" error="You must select a value from the list." promptTitle="Agreement Status Selection" prompt="Required;_x000a_Select a value from the list." sqref="J6:J53" xr:uid="{00000000-0002-0000-0400-00000D000000}">
      <formula1>AgrmtStatusLU</formula1>
    </dataValidation>
    <dataValidation type="list" showErrorMessage="1" errorTitle="Input Error" error="You must select a value from the list." promptTitle="Provision Type Selection" prompt="Required data;_x000a_Select a value from the list." sqref="W6:W53" xr:uid="{00000000-0002-0000-0400-00000E000000}">
      <formula1>ProvTypeLU</formula1>
    </dataValidation>
    <dataValidation type="list" showErrorMessage="1" errorTitle="Input Error" error="You must select a value from the list." promptTitle="Reporting Category Selection" prompt="Required data;_x000a_Select a value from the list." sqref="Z6:Z53" xr:uid="{00000000-0002-0000-0400-00000F000000}">
      <formula1>RptCatLU</formula1>
    </dataValidation>
    <dataValidation type="date" operator="greaterThan" showErrorMessage="1" errorTitle="Input Error" error="End Date must be after the start date." promptTitle="Included Option End Date Entry" prompt="Enter the end date of the included option periods." sqref="O6:O53 Q7" xr:uid="{00000000-0002-0000-0400-000010000000}">
      <formula1>N6</formula1>
    </dataValidation>
    <dataValidation type="date" operator="greaterThan" allowBlank="1" showErrorMessage="1" errorTitle="Input Error" error="End Date must be after the start date." promptTitle="Inital Period End Date Entry" prompt="Enter the end date of the inital agreement period." sqref="M6:M53" xr:uid="{00000000-0002-0000-0400-000011000000}">
      <formula1>L6</formula1>
    </dataValidation>
    <dataValidation type="date" operator="greaterThan" showErrorMessage="1" errorTitle="Input Error" error="End Date must be after the start date." promptTitle="Excluded Option End Date Entry" prompt="Enter the end date of the excluded option periods." sqref="Q6 Q8:Q9" xr:uid="{00000000-0002-0000-0400-000012000000}">
      <formula1>P6</formula1>
    </dataValidation>
    <dataValidation type="textLength" operator="lessThanOrEqual" showErrorMessage="1" errorTitle="Input Error" error="Comments cannot exceed 300 characters." promptTitle="Comments Data Entry" prompt="Enter the documentation comments up to 300 characters, including spaces." sqref="R6:R53" xr:uid="{00000000-0002-0000-0400-000013000000}">
      <formula1>300</formula1>
    </dataValidation>
    <dataValidation operator="greaterThan" showInputMessage="1" showErrorMessage="1" sqref="S6:S53" xr:uid="{00000000-0002-0000-0400-000014000000}"/>
    <dataValidation type="list" showErrorMessage="1" errorTitle="Input Error" error="Seelct a value from the list." promptTitle="G/L Account Entry" prompt="Select a G/L Account from the list." sqref="AR6:AW53" xr:uid="{00000000-0002-0000-0400-000015000000}">
      <formula1>GLAccountLU</formula1>
    </dataValidation>
    <dataValidation type="list" showErrorMessage="1" errorTitle="Input Error" error="Entry Required_x000a_Select from List" promptTitle="Field is Rquired" prompt="Indicate whether or not this is a special case." sqref="D6:D53" xr:uid="{00000000-0002-0000-0400-000016000000}">
      <formula1>"None, Multi-Provision, Multi-Amount"</formula1>
    </dataValidation>
    <dataValidation allowBlank="1" showErrorMessage="1" errorTitle="Input Error" error="The Deferred Inflow must be  greater than zero (0) if the line is not a Multi-Payment line." promptTitle="Capitlaized Value Entry" prompt="Enter the amount of the RoU Asset to be capitalized, including any residual value." sqref="AM6:AM53" xr:uid="{00000000-0002-0000-0400-000017000000}"/>
  </dataValidations>
  <pageMargins left="0.7" right="0.7" top="0.75" bottom="0.75" header="0.3" footer="0.3"/>
  <pageSetup orientation="portrait" r:id="rId1"/>
  <ignoredErrors>
    <ignoredError sqref="C12:C52 C6:C11 F6:F52 I6:J53 O6:O53 Q6:Q9 V53:W53 AA14:AA53 AD14:AD53 AE14:AE53 AA6:AA13 AD6:AE13 AR6:AW16 AR17:AW53" listDataValidation="1"/>
    <ignoredError sqref="AI53:AL53 AM53" evalError="1"/>
    <ignoredError sqref="B6:B52 E6:E53 G6:G52 S6:U52 Y6:Y52 AB6:AB52 AH6:AH52" unlockedFormula="1"/>
    <ignoredError sqref="V6:W52 Z6:Z13 Z14:Z53" unlockedFormula="1" listDataValidation="1"/>
    <ignoredError sqref="AM6:AM52 AI6:AL52" evalError="1" unlockedFormula="1"/>
  </ignoredErrors>
  <legacyDrawing r:id="rId2"/>
  <tableParts count="1">
    <tablePart r:id="rId3"/>
  </tableParts>
  <extLst>
    <ext xmlns:x14="http://schemas.microsoft.com/office/spreadsheetml/2009/9/main" uri="{CCE6A557-97BC-4b89-ADB6-D9C93CAAB3DF}">
      <x14:dataValidations xmlns:xm="http://schemas.microsoft.com/office/excel/2006/main" xWindow="929" yWindow="374" count="2">
        <x14:dataValidation type="list" showErrorMessage="1" errorTitle="Input Error" error="You must select a value from the list." promptTitle="Reporting Type Selection" prompt="Required data;_x000a_Select a value from the list." xr:uid="{00000000-0002-0000-0400-000018000000}">
          <x14:formula1>
            <xm:f>'Ref-RptType'!$A$2:$A$5</xm:f>
          </x14:formula1>
          <xm:sqref>Y6:Y53</xm:sqref>
        </x14:dataValidation>
        <x14:dataValidation type="list" showErrorMessage="1" errorTitle="Input Error" error="You must select a value from the list." promptTitle="RoU Asset Amortization Selection" prompt="Required data;_x000a_Select a value from the list." xr:uid="{00000000-0002-0000-0400-000019000000}">
          <x14:formula1>
            <xm:f>'Ref-AmortMethod'!$A$2:$A$4</xm:f>
          </x14:formula1>
          <xm:sqref>AN6:AN53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00"/>
  <sheetViews>
    <sheetView workbookViewId="0">
      <pane ySplit="3" topLeftCell="A4" activePane="bottomLeft" state="frozen"/>
      <selection activeCell="J32" sqref="J32"/>
      <selection pane="bottomLeft" activeCell="J32" sqref="J32"/>
    </sheetView>
  </sheetViews>
  <sheetFormatPr defaultRowHeight="15" x14ac:dyDescent="0.25"/>
  <cols>
    <col min="1" max="1" width="25" customWidth="1"/>
    <col min="2" max="2" width="22.5703125" customWidth="1"/>
    <col min="3" max="3" width="56.42578125" customWidth="1"/>
    <col min="4" max="4" width="65.42578125" customWidth="1"/>
  </cols>
  <sheetData>
    <row r="1" spans="1:4" x14ac:dyDescent="0.25">
      <c r="A1" s="1" t="s">
        <v>557</v>
      </c>
    </row>
    <row r="3" spans="1:4" x14ac:dyDescent="0.25">
      <c r="A3" s="79" t="s">
        <v>558</v>
      </c>
      <c r="B3" s="80" t="s">
        <v>559</v>
      </c>
      <c r="C3" s="80" t="s">
        <v>560</v>
      </c>
      <c r="D3" s="81" t="s">
        <v>561</v>
      </c>
    </row>
    <row r="4" spans="1:4" x14ac:dyDescent="0.25">
      <c r="A4" s="105">
        <f>'Agency Cover'!$B$3</f>
        <v>0</v>
      </c>
      <c r="B4" s="83"/>
      <c r="C4" s="83"/>
      <c r="D4" s="83"/>
    </row>
    <row r="5" spans="1:4" x14ac:dyDescent="0.25">
      <c r="A5" s="105">
        <f>'Agency Cover'!$B$3</f>
        <v>0</v>
      </c>
      <c r="B5" s="83"/>
      <c r="C5" s="83"/>
      <c r="D5" s="83"/>
    </row>
    <row r="6" spans="1:4" x14ac:dyDescent="0.25">
      <c r="A6" s="105">
        <f>'Agency Cover'!$B$3</f>
        <v>0</v>
      </c>
      <c r="B6" s="83"/>
      <c r="C6" s="83"/>
      <c r="D6" s="83"/>
    </row>
    <row r="7" spans="1:4" x14ac:dyDescent="0.25">
      <c r="A7" s="105">
        <f>'Agency Cover'!$B$3</f>
        <v>0</v>
      </c>
      <c r="B7" s="83"/>
      <c r="C7" s="83"/>
      <c r="D7" s="83"/>
    </row>
    <row r="8" spans="1:4" x14ac:dyDescent="0.25">
      <c r="A8" s="105">
        <f>'Agency Cover'!$B$3</f>
        <v>0</v>
      </c>
      <c r="B8" s="83"/>
      <c r="C8" s="83"/>
      <c r="D8" s="83"/>
    </row>
    <row r="9" spans="1:4" x14ac:dyDescent="0.25">
      <c r="A9" s="105">
        <f>'Agency Cover'!$B$3</f>
        <v>0</v>
      </c>
      <c r="B9" s="83"/>
      <c r="C9" s="83"/>
      <c r="D9" s="83"/>
    </row>
    <row r="10" spans="1:4" x14ac:dyDescent="0.25">
      <c r="A10" s="105">
        <f>'Agency Cover'!$B$3</f>
        <v>0</v>
      </c>
      <c r="B10" s="83"/>
      <c r="C10" s="83"/>
      <c r="D10" s="83"/>
    </row>
    <row r="11" spans="1:4" x14ac:dyDescent="0.25">
      <c r="A11" s="105">
        <f>'Agency Cover'!$B$3</f>
        <v>0</v>
      </c>
      <c r="B11" s="83"/>
      <c r="C11" s="83"/>
      <c r="D11" s="83"/>
    </row>
    <row r="12" spans="1:4" x14ac:dyDescent="0.25">
      <c r="A12" s="105">
        <f>'Agency Cover'!$B$3</f>
        <v>0</v>
      </c>
      <c r="B12" s="83"/>
      <c r="C12" s="83"/>
      <c r="D12" s="83"/>
    </row>
    <row r="13" spans="1:4" x14ac:dyDescent="0.25">
      <c r="A13" s="105">
        <f>'Agency Cover'!$B$3</f>
        <v>0</v>
      </c>
      <c r="B13" s="83"/>
      <c r="C13" s="83"/>
      <c r="D13" s="83"/>
    </row>
    <row r="14" spans="1:4" x14ac:dyDescent="0.25">
      <c r="A14" s="105">
        <f>'Agency Cover'!$B$3</f>
        <v>0</v>
      </c>
      <c r="B14" s="83"/>
      <c r="C14" s="83"/>
      <c r="D14" s="83"/>
    </row>
    <row r="15" spans="1:4" x14ac:dyDescent="0.25">
      <c r="A15" s="105">
        <f>'Agency Cover'!$B$3</f>
        <v>0</v>
      </c>
      <c r="B15" s="83"/>
      <c r="C15" s="83"/>
      <c r="D15" s="83"/>
    </row>
    <row r="16" spans="1:4" x14ac:dyDescent="0.25">
      <c r="A16" s="105">
        <f>'Agency Cover'!$B$3</f>
        <v>0</v>
      </c>
      <c r="B16" s="83"/>
      <c r="C16" s="83"/>
      <c r="D16" s="83"/>
    </row>
    <row r="17" spans="1:4" x14ac:dyDescent="0.25">
      <c r="A17" s="105">
        <f>'Agency Cover'!$B$3</f>
        <v>0</v>
      </c>
      <c r="B17" s="83"/>
      <c r="C17" s="83"/>
      <c r="D17" s="83"/>
    </row>
    <row r="18" spans="1:4" x14ac:dyDescent="0.25">
      <c r="A18" s="105">
        <f>'Agency Cover'!$B$3</f>
        <v>0</v>
      </c>
      <c r="B18" s="83"/>
      <c r="C18" s="83"/>
      <c r="D18" s="83"/>
    </row>
    <row r="19" spans="1:4" x14ac:dyDescent="0.25">
      <c r="A19" s="105">
        <f>'Agency Cover'!$B$3</f>
        <v>0</v>
      </c>
      <c r="B19" s="83"/>
      <c r="C19" s="83"/>
      <c r="D19" s="83"/>
    </row>
    <row r="20" spans="1:4" x14ac:dyDescent="0.25">
      <c r="A20" s="105">
        <f>'Agency Cover'!$B$3</f>
        <v>0</v>
      </c>
      <c r="B20" s="83"/>
      <c r="C20" s="83"/>
      <c r="D20" s="83"/>
    </row>
    <row r="21" spans="1:4" x14ac:dyDescent="0.25">
      <c r="A21" s="105">
        <f>'Agency Cover'!$B$3</f>
        <v>0</v>
      </c>
      <c r="B21" s="83"/>
      <c r="C21" s="83"/>
      <c r="D21" s="83"/>
    </row>
    <row r="22" spans="1:4" x14ac:dyDescent="0.25">
      <c r="A22" s="105">
        <f>'Agency Cover'!$B$3</f>
        <v>0</v>
      </c>
      <c r="B22" s="83"/>
      <c r="C22" s="83"/>
      <c r="D22" s="83"/>
    </row>
    <row r="23" spans="1:4" x14ac:dyDescent="0.25">
      <c r="A23" s="105">
        <f>'Agency Cover'!$B$3</f>
        <v>0</v>
      </c>
      <c r="B23" s="83"/>
      <c r="C23" s="83"/>
      <c r="D23" s="83"/>
    </row>
    <row r="24" spans="1:4" x14ac:dyDescent="0.25">
      <c r="A24" s="105">
        <f>'Agency Cover'!$B$3</f>
        <v>0</v>
      </c>
      <c r="B24" s="83"/>
      <c r="C24" s="83"/>
      <c r="D24" s="83"/>
    </row>
    <row r="25" spans="1:4" x14ac:dyDescent="0.25">
      <c r="A25" s="105">
        <f>'Agency Cover'!$B$3</f>
        <v>0</v>
      </c>
      <c r="B25" s="83"/>
      <c r="C25" s="83"/>
      <c r="D25" s="83"/>
    </row>
    <row r="26" spans="1:4" x14ac:dyDescent="0.25">
      <c r="A26" s="105">
        <f>'Agency Cover'!$B$3</f>
        <v>0</v>
      </c>
      <c r="B26" s="83"/>
      <c r="C26" s="83"/>
      <c r="D26" s="83"/>
    </row>
    <row r="27" spans="1:4" x14ac:dyDescent="0.25">
      <c r="A27" s="105">
        <f>'Agency Cover'!$B$3</f>
        <v>0</v>
      </c>
      <c r="B27" s="83"/>
      <c r="C27" s="83"/>
      <c r="D27" s="83"/>
    </row>
    <row r="28" spans="1:4" x14ac:dyDescent="0.25">
      <c r="A28" s="105">
        <f>'Agency Cover'!$B$3</f>
        <v>0</v>
      </c>
      <c r="B28" s="83"/>
      <c r="C28" s="83"/>
      <c r="D28" s="83"/>
    </row>
    <row r="29" spans="1:4" x14ac:dyDescent="0.25">
      <c r="A29" s="105">
        <f>'Agency Cover'!$B$3</f>
        <v>0</v>
      </c>
      <c r="B29" s="83"/>
      <c r="C29" s="83"/>
      <c r="D29" s="83"/>
    </row>
    <row r="30" spans="1:4" x14ac:dyDescent="0.25">
      <c r="A30" s="105">
        <f>'Agency Cover'!$B$3</f>
        <v>0</v>
      </c>
      <c r="B30" s="83"/>
      <c r="C30" s="83"/>
      <c r="D30" s="83"/>
    </row>
    <row r="31" spans="1:4" x14ac:dyDescent="0.25">
      <c r="A31" s="105">
        <f>'Agency Cover'!$B$3</f>
        <v>0</v>
      </c>
      <c r="B31" s="83"/>
      <c r="C31" s="83"/>
      <c r="D31" s="83"/>
    </row>
    <row r="32" spans="1:4" x14ac:dyDescent="0.25">
      <c r="A32" s="105">
        <f>'Agency Cover'!$B$3</f>
        <v>0</v>
      </c>
      <c r="B32" s="83"/>
      <c r="C32" s="83"/>
      <c r="D32" s="83"/>
    </row>
    <row r="33" spans="1:4" x14ac:dyDescent="0.25">
      <c r="A33" s="105">
        <f>'Agency Cover'!$B$3</f>
        <v>0</v>
      </c>
      <c r="B33" s="83"/>
      <c r="C33" s="83"/>
      <c r="D33" s="83"/>
    </row>
    <row r="34" spans="1:4" x14ac:dyDescent="0.25">
      <c r="A34" s="105">
        <f>'Agency Cover'!$B$3</f>
        <v>0</v>
      </c>
      <c r="B34" s="83"/>
      <c r="C34" s="83"/>
      <c r="D34" s="83"/>
    </row>
    <row r="35" spans="1:4" x14ac:dyDescent="0.25">
      <c r="A35" s="105">
        <f>'Agency Cover'!$B$3</f>
        <v>0</v>
      </c>
      <c r="B35" s="83"/>
      <c r="C35" s="83"/>
      <c r="D35" s="83"/>
    </row>
    <row r="36" spans="1:4" x14ac:dyDescent="0.25">
      <c r="A36" s="105">
        <f>'Agency Cover'!$B$3</f>
        <v>0</v>
      </c>
      <c r="B36" s="83"/>
      <c r="C36" s="83"/>
      <c r="D36" s="83"/>
    </row>
    <row r="37" spans="1:4" x14ac:dyDescent="0.25">
      <c r="A37" s="105">
        <f>'Agency Cover'!$B$3</f>
        <v>0</v>
      </c>
      <c r="B37" s="83"/>
      <c r="C37" s="83"/>
      <c r="D37" s="83"/>
    </row>
    <row r="38" spans="1:4" x14ac:dyDescent="0.25">
      <c r="A38" s="105">
        <f>'Agency Cover'!$B$3</f>
        <v>0</v>
      </c>
      <c r="B38" s="83"/>
      <c r="C38" s="83"/>
      <c r="D38" s="83"/>
    </row>
    <row r="39" spans="1:4" x14ac:dyDescent="0.25">
      <c r="A39" s="105">
        <f>'Agency Cover'!$B$3</f>
        <v>0</v>
      </c>
      <c r="B39" s="83"/>
      <c r="C39" s="83"/>
      <c r="D39" s="83"/>
    </row>
    <row r="40" spans="1:4" x14ac:dyDescent="0.25">
      <c r="A40" s="105">
        <f>'Agency Cover'!$B$3</f>
        <v>0</v>
      </c>
      <c r="B40" s="83"/>
      <c r="C40" s="83"/>
      <c r="D40" s="83"/>
    </row>
    <row r="41" spans="1:4" x14ac:dyDescent="0.25">
      <c r="A41" s="105">
        <f>'Agency Cover'!$B$3</f>
        <v>0</v>
      </c>
      <c r="B41" s="83"/>
      <c r="C41" s="83"/>
      <c r="D41" s="83"/>
    </row>
    <row r="42" spans="1:4" x14ac:dyDescent="0.25">
      <c r="A42" s="105">
        <f>'Agency Cover'!$B$3</f>
        <v>0</v>
      </c>
      <c r="B42" s="83"/>
      <c r="C42" s="83"/>
      <c r="D42" s="83"/>
    </row>
    <row r="43" spans="1:4" x14ac:dyDescent="0.25">
      <c r="A43" s="105">
        <f>'Agency Cover'!$B$3</f>
        <v>0</v>
      </c>
      <c r="B43" s="83"/>
      <c r="C43" s="83"/>
      <c r="D43" s="83"/>
    </row>
    <row r="44" spans="1:4" x14ac:dyDescent="0.25">
      <c r="A44" s="105">
        <f>'Agency Cover'!$B$3</f>
        <v>0</v>
      </c>
      <c r="B44" s="83"/>
      <c r="C44" s="83"/>
      <c r="D44" s="83"/>
    </row>
    <row r="45" spans="1:4" x14ac:dyDescent="0.25">
      <c r="A45" s="105">
        <f>'Agency Cover'!$B$3</f>
        <v>0</v>
      </c>
      <c r="B45" s="83"/>
      <c r="C45" s="83"/>
      <c r="D45" s="83"/>
    </row>
    <row r="46" spans="1:4" x14ac:dyDescent="0.25">
      <c r="A46" s="105">
        <f>'Agency Cover'!$B$3</f>
        <v>0</v>
      </c>
      <c r="B46" s="83"/>
      <c r="C46" s="83"/>
      <c r="D46" s="83"/>
    </row>
    <row r="47" spans="1:4" x14ac:dyDescent="0.25">
      <c r="A47" s="105">
        <f>'Agency Cover'!$B$3</f>
        <v>0</v>
      </c>
      <c r="B47" s="83"/>
      <c r="C47" s="83"/>
      <c r="D47" s="83"/>
    </row>
    <row r="48" spans="1:4" x14ac:dyDescent="0.25">
      <c r="A48" s="105">
        <f>'Agency Cover'!$B$3</f>
        <v>0</v>
      </c>
      <c r="B48" s="83"/>
      <c r="C48" s="83"/>
      <c r="D48" s="83"/>
    </row>
    <row r="49" spans="1:4" x14ac:dyDescent="0.25">
      <c r="A49" s="105">
        <f>'Agency Cover'!$B$3</f>
        <v>0</v>
      </c>
      <c r="B49" s="83"/>
      <c r="C49" s="83"/>
      <c r="D49" s="83"/>
    </row>
    <row r="50" spans="1:4" x14ac:dyDescent="0.25">
      <c r="A50" s="105">
        <f>'Agency Cover'!$B$3</f>
        <v>0</v>
      </c>
      <c r="B50" s="83"/>
      <c r="C50" s="83"/>
      <c r="D50" s="83"/>
    </row>
    <row r="51" spans="1:4" x14ac:dyDescent="0.25">
      <c r="A51" s="105">
        <f>'Agency Cover'!$B$3</f>
        <v>0</v>
      </c>
      <c r="B51" s="83"/>
      <c r="C51" s="83"/>
      <c r="D51" s="83"/>
    </row>
    <row r="52" spans="1:4" x14ac:dyDescent="0.25">
      <c r="A52" s="105">
        <f>'Agency Cover'!$B$3</f>
        <v>0</v>
      </c>
      <c r="B52" s="83"/>
      <c r="C52" s="83"/>
      <c r="D52" s="83"/>
    </row>
    <row r="53" spans="1:4" x14ac:dyDescent="0.25">
      <c r="A53" s="105">
        <f>'Agency Cover'!$B$3</f>
        <v>0</v>
      </c>
      <c r="B53" s="83"/>
      <c r="C53" s="83"/>
      <c r="D53" s="83"/>
    </row>
    <row r="54" spans="1:4" x14ac:dyDescent="0.25">
      <c r="A54" s="105">
        <f>'Agency Cover'!$B$3</f>
        <v>0</v>
      </c>
      <c r="B54" s="83"/>
      <c r="C54" s="83"/>
      <c r="D54" s="83"/>
    </row>
    <row r="55" spans="1:4" x14ac:dyDescent="0.25">
      <c r="A55" s="105">
        <f>'Agency Cover'!$B$3</f>
        <v>0</v>
      </c>
      <c r="B55" s="83"/>
      <c r="C55" s="83"/>
      <c r="D55" s="83"/>
    </row>
    <row r="56" spans="1:4" x14ac:dyDescent="0.25">
      <c r="A56" s="105">
        <f>'Agency Cover'!$B$3</f>
        <v>0</v>
      </c>
      <c r="B56" s="83"/>
      <c r="C56" s="83"/>
      <c r="D56" s="83"/>
    </row>
    <row r="57" spans="1:4" x14ac:dyDescent="0.25">
      <c r="A57" s="105">
        <f>'Agency Cover'!$B$3</f>
        <v>0</v>
      </c>
      <c r="B57" s="83"/>
      <c r="C57" s="83"/>
      <c r="D57" s="83"/>
    </row>
    <row r="58" spans="1:4" x14ac:dyDescent="0.25">
      <c r="A58" s="105">
        <f>'Agency Cover'!$B$3</f>
        <v>0</v>
      </c>
      <c r="B58" s="83"/>
      <c r="C58" s="83"/>
      <c r="D58" s="83"/>
    </row>
    <row r="59" spans="1:4" x14ac:dyDescent="0.25">
      <c r="A59" s="105">
        <f>'Agency Cover'!$B$3</f>
        <v>0</v>
      </c>
      <c r="B59" s="83"/>
      <c r="C59" s="83"/>
      <c r="D59" s="83"/>
    </row>
    <row r="60" spans="1:4" x14ac:dyDescent="0.25">
      <c r="A60" s="105">
        <f>'Agency Cover'!$B$3</f>
        <v>0</v>
      </c>
      <c r="B60" s="83"/>
      <c r="C60" s="83"/>
      <c r="D60" s="83"/>
    </row>
    <row r="61" spans="1:4" x14ac:dyDescent="0.25">
      <c r="A61" s="105">
        <f>'Agency Cover'!$B$3</f>
        <v>0</v>
      </c>
      <c r="B61" s="83"/>
      <c r="C61" s="83"/>
      <c r="D61" s="83"/>
    </row>
    <row r="62" spans="1:4" x14ac:dyDescent="0.25">
      <c r="A62" s="105">
        <f>'Agency Cover'!$B$3</f>
        <v>0</v>
      </c>
      <c r="B62" s="83"/>
      <c r="C62" s="83"/>
      <c r="D62" s="83"/>
    </row>
    <row r="63" spans="1:4" x14ac:dyDescent="0.25">
      <c r="A63" s="105">
        <f>'Agency Cover'!$B$3</f>
        <v>0</v>
      </c>
      <c r="B63" s="83"/>
      <c r="C63" s="83"/>
      <c r="D63" s="83"/>
    </row>
    <row r="64" spans="1:4" x14ac:dyDescent="0.25">
      <c r="A64" s="105">
        <f>'Agency Cover'!$B$3</f>
        <v>0</v>
      </c>
      <c r="B64" s="83"/>
      <c r="C64" s="83"/>
      <c r="D64" s="83"/>
    </row>
    <row r="65" spans="1:4" x14ac:dyDescent="0.25">
      <c r="A65" s="105">
        <f>'Agency Cover'!$B$3</f>
        <v>0</v>
      </c>
      <c r="B65" s="83"/>
      <c r="C65" s="83"/>
      <c r="D65" s="83"/>
    </row>
    <row r="66" spans="1:4" x14ac:dyDescent="0.25">
      <c r="A66" s="105">
        <f>'Agency Cover'!$B$3</f>
        <v>0</v>
      </c>
      <c r="B66" s="83"/>
      <c r="C66" s="83"/>
      <c r="D66" s="83"/>
    </row>
    <row r="67" spans="1:4" x14ac:dyDescent="0.25">
      <c r="A67" s="105">
        <f>'Agency Cover'!$B$3</f>
        <v>0</v>
      </c>
      <c r="B67" s="83"/>
      <c r="C67" s="83"/>
      <c r="D67" s="83"/>
    </row>
    <row r="68" spans="1:4" x14ac:dyDescent="0.25">
      <c r="A68" s="105">
        <f>'Agency Cover'!$B$3</f>
        <v>0</v>
      </c>
      <c r="B68" s="83"/>
      <c r="C68" s="83"/>
      <c r="D68" s="83"/>
    </row>
    <row r="69" spans="1:4" x14ac:dyDescent="0.25">
      <c r="A69" s="105">
        <f>'Agency Cover'!$B$3</f>
        <v>0</v>
      </c>
      <c r="B69" s="83"/>
      <c r="C69" s="83"/>
      <c r="D69" s="83"/>
    </row>
    <row r="70" spans="1:4" x14ac:dyDescent="0.25">
      <c r="A70" s="105">
        <f>'Agency Cover'!$B$3</f>
        <v>0</v>
      </c>
      <c r="B70" s="83"/>
      <c r="C70" s="83"/>
      <c r="D70" s="83"/>
    </row>
    <row r="71" spans="1:4" x14ac:dyDescent="0.25">
      <c r="A71" s="105">
        <f>'Agency Cover'!$B$3</f>
        <v>0</v>
      </c>
      <c r="B71" s="83"/>
      <c r="C71" s="83"/>
      <c r="D71" s="83"/>
    </row>
    <row r="72" spans="1:4" x14ac:dyDescent="0.25">
      <c r="A72" s="105">
        <f>'Agency Cover'!$B$3</f>
        <v>0</v>
      </c>
      <c r="B72" s="83"/>
      <c r="C72" s="83"/>
      <c r="D72" s="83"/>
    </row>
    <row r="73" spans="1:4" x14ac:dyDescent="0.25">
      <c r="A73" s="105">
        <f>'Agency Cover'!$B$3</f>
        <v>0</v>
      </c>
      <c r="B73" s="83"/>
      <c r="C73" s="83"/>
      <c r="D73" s="83"/>
    </row>
    <row r="74" spans="1:4" x14ac:dyDescent="0.25">
      <c r="A74" s="105">
        <f>'Agency Cover'!$B$3</f>
        <v>0</v>
      </c>
      <c r="B74" s="83"/>
      <c r="C74" s="83"/>
      <c r="D74" s="83"/>
    </row>
    <row r="75" spans="1:4" x14ac:dyDescent="0.25">
      <c r="A75" s="105">
        <f>'Agency Cover'!$B$3</f>
        <v>0</v>
      </c>
      <c r="B75" s="83"/>
      <c r="C75" s="83"/>
      <c r="D75" s="83"/>
    </row>
    <row r="76" spans="1:4" x14ac:dyDescent="0.25">
      <c r="A76" s="105">
        <f>'Agency Cover'!$B$3</f>
        <v>0</v>
      </c>
      <c r="B76" s="83"/>
      <c r="C76" s="83"/>
      <c r="D76" s="83"/>
    </row>
    <row r="77" spans="1:4" x14ac:dyDescent="0.25">
      <c r="A77" s="105">
        <f>'Agency Cover'!$B$3</f>
        <v>0</v>
      </c>
      <c r="B77" s="83"/>
      <c r="C77" s="83"/>
      <c r="D77" s="83"/>
    </row>
    <row r="78" spans="1:4" x14ac:dyDescent="0.25">
      <c r="A78" s="105">
        <f>'Agency Cover'!$B$3</f>
        <v>0</v>
      </c>
      <c r="B78" s="83"/>
      <c r="C78" s="83"/>
      <c r="D78" s="83"/>
    </row>
    <row r="79" spans="1:4" x14ac:dyDescent="0.25">
      <c r="A79" s="105">
        <f>'Agency Cover'!$B$3</f>
        <v>0</v>
      </c>
      <c r="B79" s="83"/>
      <c r="C79" s="83"/>
      <c r="D79" s="83"/>
    </row>
    <row r="80" spans="1:4" x14ac:dyDescent="0.25">
      <c r="A80" s="105">
        <f>'Agency Cover'!$B$3</f>
        <v>0</v>
      </c>
      <c r="B80" s="83"/>
      <c r="C80" s="83"/>
      <c r="D80" s="83"/>
    </row>
    <row r="81" spans="1:4" x14ac:dyDescent="0.25">
      <c r="A81" s="105">
        <f>'Agency Cover'!$B$3</f>
        <v>0</v>
      </c>
      <c r="B81" s="83"/>
      <c r="C81" s="83"/>
      <c r="D81" s="83"/>
    </row>
    <row r="82" spans="1:4" x14ac:dyDescent="0.25">
      <c r="A82" s="105">
        <f>'Agency Cover'!$B$3</f>
        <v>0</v>
      </c>
      <c r="B82" s="83"/>
      <c r="C82" s="83"/>
      <c r="D82" s="83"/>
    </row>
    <row r="83" spans="1:4" x14ac:dyDescent="0.25">
      <c r="A83" s="105">
        <f>'Agency Cover'!$B$3</f>
        <v>0</v>
      </c>
      <c r="B83" s="83"/>
      <c r="C83" s="83"/>
      <c r="D83" s="83"/>
    </row>
    <row r="84" spans="1:4" x14ac:dyDescent="0.25">
      <c r="A84" s="105">
        <f>'Agency Cover'!$B$3</f>
        <v>0</v>
      </c>
      <c r="B84" s="83"/>
      <c r="C84" s="83"/>
      <c r="D84" s="83"/>
    </row>
    <row r="85" spans="1:4" x14ac:dyDescent="0.25">
      <c r="A85" s="105">
        <f>'Agency Cover'!$B$3</f>
        <v>0</v>
      </c>
      <c r="B85" s="83"/>
      <c r="C85" s="83"/>
      <c r="D85" s="83"/>
    </row>
    <row r="86" spans="1:4" x14ac:dyDescent="0.25">
      <c r="A86" s="105">
        <f>'Agency Cover'!$B$3</f>
        <v>0</v>
      </c>
      <c r="B86" s="83"/>
      <c r="C86" s="83"/>
      <c r="D86" s="83"/>
    </row>
    <row r="87" spans="1:4" x14ac:dyDescent="0.25">
      <c r="A87" s="105">
        <f>'Agency Cover'!$B$3</f>
        <v>0</v>
      </c>
      <c r="B87" s="83"/>
      <c r="C87" s="83"/>
      <c r="D87" s="83"/>
    </row>
    <row r="88" spans="1:4" x14ac:dyDescent="0.25">
      <c r="A88" s="105">
        <f>'Agency Cover'!$B$3</f>
        <v>0</v>
      </c>
      <c r="B88" s="83"/>
      <c r="C88" s="83"/>
      <c r="D88" s="83"/>
    </row>
    <row r="89" spans="1:4" x14ac:dyDescent="0.25">
      <c r="A89" s="105">
        <f>'Agency Cover'!$B$3</f>
        <v>0</v>
      </c>
      <c r="B89" s="83"/>
      <c r="C89" s="83"/>
      <c r="D89" s="83"/>
    </row>
    <row r="90" spans="1:4" x14ac:dyDescent="0.25">
      <c r="A90" s="105">
        <f>'Agency Cover'!$B$3</f>
        <v>0</v>
      </c>
      <c r="B90" s="83"/>
      <c r="C90" s="83"/>
      <c r="D90" s="83"/>
    </row>
    <row r="91" spans="1:4" x14ac:dyDescent="0.25">
      <c r="A91" s="105">
        <f>'Agency Cover'!$B$3</f>
        <v>0</v>
      </c>
      <c r="B91" s="83"/>
      <c r="C91" s="83"/>
      <c r="D91" s="83"/>
    </row>
    <row r="92" spans="1:4" x14ac:dyDescent="0.25">
      <c r="A92" s="105">
        <f>'Agency Cover'!$B$3</f>
        <v>0</v>
      </c>
      <c r="B92" s="83"/>
      <c r="C92" s="83"/>
      <c r="D92" s="83"/>
    </row>
    <row r="93" spans="1:4" x14ac:dyDescent="0.25">
      <c r="A93" s="105">
        <f>'Agency Cover'!$B$3</f>
        <v>0</v>
      </c>
      <c r="B93" s="83"/>
      <c r="C93" s="83"/>
      <c r="D93" s="83"/>
    </row>
    <row r="94" spans="1:4" x14ac:dyDescent="0.25">
      <c r="A94" s="105">
        <f>'Agency Cover'!$B$3</f>
        <v>0</v>
      </c>
      <c r="B94" s="83"/>
      <c r="C94" s="83"/>
      <c r="D94" s="83"/>
    </row>
    <row r="95" spans="1:4" x14ac:dyDescent="0.25">
      <c r="A95" s="105">
        <f>'Agency Cover'!$B$3</f>
        <v>0</v>
      </c>
      <c r="B95" s="83"/>
      <c r="C95" s="83"/>
      <c r="D95" s="83"/>
    </row>
    <row r="96" spans="1:4" x14ac:dyDescent="0.25">
      <c r="A96" s="105">
        <f>'Agency Cover'!$B$3</f>
        <v>0</v>
      </c>
      <c r="B96" s="83"/>
      <c r="C96" s="83"/>
      <c r="D96" s="83"/>
    </row>
    <row r="97" spans="1:4" x14ac:dyDescent="0.25">
      <c r="A97" s="105">
        <f>'Agency Cover'!$B$3</f>
        <v>0</v>
      </c>
      <c r="B97" s="83"/>
      <c r="C97" s="83"/>
      <c r="D97" s="83"/>
    </row>
    <row r="98" spans="1:4" x14ac:dyDescent="0.25">
      <c r="A98" s="105">
        <f>'Agency Cover'!$B$3</f>
        <v>0</v>
      </c>
      <c r="B98" s="83"/>
      <c r="C98" s="83"/>
      <c r="D98" s="83"/>
    </row>
    <row r="99" spans="1:4" x14ac:dyDescent="0.25">
      <c r="A99" s="105">
        <f>'Agency Cover'!$B$3</f>
        <v>0</v>
      </c>
      <c r="B99" s="83"/>
      <c r="C99" s="83"/>
      <c r="D99" s="83"/>
    </row>
    <row r="100" spans="1:4" ht="30" x14ac:dyDescent="0.25">
      <c r="A100" s="84">
        <f>'Agency Cover'!$B$3</f>
        <v>0</v>
      </c>
      <c r="B100" s="85" t="s">
        <v>562</v>
      </c>
      <c r="C100" s="85" t="s">
        <v>562</v>
      </c>
      <c r="D100" s="86" t="s">
        <v>563</v>
      </c>
    </row>
    <row r="101" spans="1:4" x14ac:dyDescent="0.25">
      <c r="A101" s="82"/>
      <c r="B101" s="54"/>
      <c r="C101" s="54"/>
      <c r="D101" s="54"/>
    </row>
    <row r="102" spans="1:4" x14ac:dyDescent="0.25">
      <c r="A102" s="82"/>
      <c r="B102" s="54"/>
      <c r="C102" s="54"/>
      <c r="D102" s="54"/>
    </row>
    <row r="103" spans="1:4" x14ac:dyDescent="0.25">
      <c r="A103" s="82"/>
      <c r="B103" s="54"/>
      <c r="C103" s="54"/>
      <c r="D103" s="54"/>
    </row>
    <row r="104" spans="1:4" x14ac:dyDescent="0.25">
      <c r="A104" s="82"/>
      <c r="B104" s="54"/>
      <c r="C104" s="54"/>
      <c r="D104" s="54"/>
    </row>
    <row r="105" spans="1:4" x14ac:dyDescent="0.25">
      <c r="A105" s="82"/>
      <c r="B105" s="54"/>
      <c r="C105" s="54"/>
      <c r="D105" s="54"/>
    </row>
    <row r="106" spans="1:4" x14ac:dyDescent="0.25">
      <c r="A106" s="82"/>
      <c r="B106" s="54"/>
      <c r="C106" s="54"/>
      <c r="D106" s="54"/>
    </row>
    <row r="107" spans="1:4" x14ac:dyDescent="0.25">
      <c r="A107" s="82"/>
      <c r="B107" s="54"/>
      <c r="C107" s="54"/>
      <c r="D107" s="54"/>
    </row>
    <row r="108" spans="1:4" x14ac:dyDescent="0.25">
      <c r="A108" s="82"/>
      <c r="B108" s="54"/>
      <c r="C108" s="54"/>
      <c r="D108" s="54"/>
    </row>
    <row r="109" spans="1:4" x14ac:dyDescent="0.25">
      <c r="A109" s="82"/>
      <c r="B109" s="54"/>
      <c r="C109" s="54"/>
      <c r="D109" s="54"/>
    </row>
    <row r="110" spans="1:4" x14ac:dyDescent="0.25">
      <c r="A110" s="82"/>
      <c r="B110" s="54"/>
      <c r="C110" s="54"/>
      <c r="D110" s="54"/>
    </row>
    <row r="111" spans="1:4" x14ac:dyDescent="0.25">
      <c r="A111" s="82"/>
      <c r="B111" s="54"/>
      <c r="C111" s="54"/>
      <c r="D111" s="54"/>
    </row>
    <row r="112" spans="1:4" x14ac:dyDescent="0.25">
      <c r="A112" s="82"/>
      <c r="B112" s="54"/>
      <c r="C112" s="54"/>
      <c r="D112" s="54"/>
    </row>
    <row r="113" spans="1:4" x14ac:dyDescent="0.25">
      <c r="A113" s="82"/>
      <c r="B113" s="54"/>
      <c r="C113" s="54"/>
      <c r="D113" s="54"/>
    </row>
    <row r="114" spans="1:4" x14ac:dyDescent="0.25">
      <c r="A114" s="82"/>
      <c r="B114" s="54"/>
      <c r="C114" s="54"/>
      <c r="D114" s="54"/>
    </row>
    <row r="115" spans="1:4" x14ac:dyDescent="0.25">
      <c r="A115" s="82"/>
      <c r="B115" s="54"/>
      <c r="C115" s="54"/>
      <c r="D115" s="54"/>
    </row>
    <row r="116" spans="1:4" x14ac:dyDescent="0.25">
      <c r="A116" s="82"/>
      <c r="B116" s="54"/>
      <c r="C116" s="54"/>
      <c r="D116" s="54"/>
    </row>
    <row r="117" spans="1:4" x14ac:dyDescent="0.25">
      <c r="A117" s="82"/>
      <c r="B117" s="54"/>
      <c r="C117" s="54"/>
      <c r="D117" s="54"/>
    </row>
    <row r="118" spans="1:4" x14ac:dyDescent="0.25">
      <c r="A118" s="82"/>
      <c r="B118" s="54"/>
      <c r="C118" s="54"/>
      <c r="D118" s="54"/>
    </row>
    <row r="119" spans="1:4" x14ac:dyDescent="0.25">
      <c r="A119" s="82"/>
      <c r="B119" s="54"/>
      <c r="C119" s="54"/>
      <c r="D119" s="54"/>
    </row>
    <row r="120" spans="1:4" x14ac:dyDescent="0.25">
      <c r="A120" s="82"/>
      <c r="B120" s="54"/>
      <c r="C120" s="54"/>
      <c r="D120" s="54"/>
    </row>
    <row r="121" spans="1:4" x14ac:dyDescent="0.25">
      <c r="A121" s="82"/>
      <c r="B121" s="54"/>
      <c r="C121" s="54"/>
      <c r="D121" s="54"/>
    </row>
    <row r="122" spans="1:4" x14ac:dyDescent="0.25">
      <c r="A122" s="82"/>
      <c r="B122" s="54"/>
      <c r="C122" s="54"/>
      <c r="D122" s="54"/>
    </row>
    <row r="123" spans="1:4" x14ac:dyDescent="0.25">
      <c r="A123" s="82"/>
      <c r="B123" s="54"/>
      <c r="C123" s="54"/>
      <c r="D123" s="54"/>
    </row>
    <row r="124" spans="1:4" x14ac:dyDescent="0.25">
      <c r="A124" s="82"/>
      <c r="B124" s="54"/>
      <c r="C124" s="54"/>
      <c r="D124" s="54"/>
    </row>
    <row r="125" spans="1:4" x14ac:dyDescent="0.25">
      <c r="A125" s="82"/>
      <c r="B125" s="54"/>
      <c r="C125" s="54"/>
      <c r="D125" s="54"/>
    </row>
    <row r="126" spans="1:4" x14ac:dyDescent="0.25">
      <c r="A126" s="82"/>
      <c r="B126" s="54"/>
      <c r="C126" s="54"/>
      <c r="D126" s="54"/>
    </row>
    <row r="127" spans="1:4" x14ac:dyDescent="0.25">
      <c r="A127" s="82"/>
      <c r="B127" s="54"/>
      <c r="C127" s="54"/>
      <c r="D127" s="54"/>
    </row>
    <row r="128" spans="1:4" x14ac:dyDescent="0.25">
      <c r="A128" s="82"/>
      <c r="B128" s="54"/>
      <c r="C128" s="54"/>
      <c r="D128" s="54"/>
    </row>
    <row r="129" spans="1:4" x14ac:dyDescent="0.25">
      <c r="A129" s="82"/>
      <c r="B129" s="54"/>
      <c r="C129" s="54"/>
      <c r="D129" s="54"/>
    </row>
    <row r="130" spans="1:4" x14ac:dyDescent="0.25">
      <c r="A130" s="82"/>
      <c r="B130" s="54"/>
      <c r="C130" s="54"/>
      <c r="D130" s="54"/>
    </row>
    <row r="131" spans="1:4" x14ac:dyDescent="0.25">
      <c r="A131" s="82"/>
      <c r="B131" s="54"/>
      <c r="C131" s="54"/>
      <c r="D131" s="54"/>
    </row>
    <row r="132" spans="1:4" x14ac:dyDescent="0.25">
      <c r="A132" s="82"/>
      <c r="B132" s="54"/>
      <c r="C132" s="54"/>
      <c r="D132" s="54"/>
    </row>
    <row r="133" spans="1:4" x14ac:dyDescent="0.25">
      <c r="A133" s="82"/>
      <c r="B133" s="54"/>
      <c r="C133" s="54"/>
      <c r="D133" s="54"/>
    </row>
    <row r="134" spans="1:4" x14ac:dyDescent="0.25">
      <c r="A134" s="82"/>
      <c r="B134" s="54"/>
      <c r="C134" s="54"/>
      <c r="D134" s="54"/>
    </row>
    <row r="135" spans="1:4" x14ac:dyDescent="0.25">
      <c r="A135" s="82"/>
      <c r="B135" s="54"/>
      <c r="C135" s="54"/>
      <c r="D135" s="54"/>
    </row>
    <row r="136" spans="1:4" x14ac:dyDescent="0.25">
      <c r="A136" s="82"/>
      <c r="B136" s="54"/>
      <c r="C136" s="54"/>
      <c r="D136" s="54"/>
    </row>
    <row r="137" spans="1:4" x14ac:dyDescent="0.25">
      <c r="A137" s="82"/>
      <c r="B137" s="54"/>
      <c r="C137" s="54"/>
      <c r="D137" s="54"/>
    </row>
    <row r="138" spans="1:4" x14ac:dyDescent="0.25">
      <c r="A138" s="82"/>
      <c r="B138" s="54"/>
      <c r="C138" s="54"/>
      <c r="D138" s="54"/>
    </row>
    <row r="139" spans="1:4" x14ac:dyDescent="0.25">
      <c r="A139" s="82"/>
      <c r="B139" s="54"/>
      <c r="C139" s="54"/>
      <c r="D139" s="54"/>
    </row>
    <row r="140" spans="1:4" x14ac:dyDescent="0.25">
      <c r="A140" s="82"/>
      <c r="B140" s="54"/>
      <c r="C140" s="54"/>
      <c r="D140" s="54"/>
    </row>
    <row r="141" spans="1:4" x14ac:dyDescent="0.25">
      <c r="A141" s="82"/>
      <c r="B141" s="54"/>
      <c r="C141" s="54"/>
      <c r="D141" s="54"/>
    </row>
    <row r="142" spans="1:4" x14ac:dyDescent="0.25">
      <c r="A142" s="82"/>
      <c r="B142" s="54"/>
      <c r="C142" s="54"/>
      <c r="D142" s="54"/>
    </row>
    <row r="143" spans="1:4" x14ac:dyDescent="0.25">
      <c r="A143" s="82"/>
      <c r="B143" s="54"/>
      <c r="C143" s="54"/>
      <c r="D143" s="54"/>
    </row>
    <row r="144" spans="1:4" x14ac:dyDescent="0.25">
      <c r="A144" s="82"/>
      <c r="B144" s="54"/>
      <c r="C144" s="54"/>
      <c r="D144" s="54"/>
    </row>
    <row r="145" spans="1:4" x14ac:dyDescent="0.25">
      <c r="A145" s="82"/>
      <c r="B145" s="54"/>
      <c r="C145" s="54"/>
      <c r="D145" s="54"/>
    </row>
    <row r="146" spans="1:4" x14ac:dyDescent="0.25">
      <c r="A146" s="82"/>
      <c r="B146" s="54"/>
      <c r="C146" s="54"/>
      <c r="D146" s="54"/>
    </row>
    <row r="147" spans="1:4" x14ac:dyDescent="0.25">
      <c r="A147" s="82"/>
      <c r="B147" s="54"/>
      <c r="C147" s="54"/>
      <c r="D147" s="54"/>
    </row>
    <row r="148" spans="1:4" x14ac:dyDescent="0.25">
      <c r="A148" s="82"/>
      <c r="B148" s="54"/>
      <c r="C148" s="54"/>
      <c r="D148" s="54"/>
    </row>
    <row r="149" spans="1:4" x14ac:dyDescent="0.25">
      <c r="A149" s="82"/>
      <c r="B149" s="54"/>
      <c r="C149" s="54"/>
      <c r="D149" s="54"/>
    </row>
    <row r="150" spans="1:4" x14ac:dyDescent="0.25">
      <c r="A150" s="82"/>
      <c r="B150" s="54"/>
      <c r="C150" s="54"/>
      <c r="D150" s="54"/>
    </row>
    <row r="151" spans="1:4" x14ac:dyDescent="0.25">
      <c r="A151" s="82"/>
      <c r="B151" s="54"/>
      <c r="C151" s="54"/>
      <c r="D151" s="54"/>
    </row>
    <row r="152" spans="1:4" x14ac:dyDescent="0.25">
      <c r="A152" s="82"/>
      <c r="B152" s="54"/>
      <c r="C152" s="54"/>
      <c r="D152" s="54"/>
    </row>
    <row r="153" spans="1:4" x14ac:dyDescent="0.25">
      <c r="A153" s="82"/>
      <c r="B153" s="54"/>
      <c r="C153" s="54"/>
      <c r="D153" s="54"/>
    </row>
    <row r="154" spans="1:4" x14ac:dyDescent="0.25">
      <c r="A154" s="82"/>
      <c r="B154" s="54"/>
      <c r="C154" s="54"/>
      <c r="D154" s="54"/>
    </row>
    <row r="155" spans="1:4" x14ac:dyDescent="0.25">
      <c r="A155" s="82"/>
      <c r="B155" s="54"/>
      <c r="C155" s="54"/>
      <c r="D155" s="54"/>
    </row>
    <row r="156" spans="1:4" x14ac:dyDescent="0.25">
      <c r="A156" s="82"/>
      <c r="B156" s="54"/>
      <c r="C156" s="54"/>
      <c r="D156" s="54"/>
    </row>
    <row r="157" spans="1:4" x14ac:dyDescent="0.25">
      <c r="A157" s="82"/>
      <c r="B157" s="54"/>
      <c r="C157" s="54"/>
      <c r="D157" s="54"/>
    </row>
    <row r="158" spans="1:4" x14ac:dyDescent="0.25">
      <c r="A158" s="82"/>
      <c r="B158" s="54"/>
      <c r="C158" s="54"/>
      <c r="D158" s="54"/>
    </row>
    <row r="159" spans="1:4" x14ac:dyDescent="0.25">
      <c r="A159" s="82"/>
      <c r="B159" s="54"/>
      <c r="C159" s="54"/>
      <c r="D159" s="54"/>
    </row>
    <row r="160" spans="1:4" x14ac:dyDescent="0.25">
      <c r="A160" s="82"/>
      <c r="B160" s="54"/>
      <c r="C160" s="54"/>
      <c r="D160" s="54"/>
    </row>
    <row r="161" spans="1:4" x14ac:dyDescent="0.25">
      <c r="A161" s="82"/>
      <c r="B161" s="54"/>
      <c r="C161" s="54"/>
      <c r="D161" s="54"/>
    </row>
    <row r="162" spans="1:4" x14ac:dyDescent="0.25">
      <c r="A162" s="82"/>
      <c r="B162" s="54"/>
      <c r="C162" s="54"/>
      <c r="D162" s="54"/>
    </row>
    <row r="163" spans="1:4" x14ac:dyDescent="0.25">
      <c r="A163" s="82"/>
      <c r="B163" s="54"/>
      <c r="C163" s="54"/>
      <c r="D163" s="54"/>
    </row>
    <row r="164" spans="1:4" x14ac:dyDescent="0.25">
      <c r="A164" s="82"/>
      <c r="B164" s="54"/>
      <c r="C164" s="54"/>
      <c r="D164" s="54"/>
    </row>
    <row r="165" spans="1:4" x14ac:dyDescent="0.25">
      <c r="A165" s="82"/>
      <c r="B165" s="54"/>
      <c r="C165" s="54"/>
      <c r="D165" s="54"/>
    </row>
    <row r="166" spans="1:4" x14ac:dyDescent="0.25">
      <c r="A166" s="82"/>
      <c r="B166" s="54"/>
      <c r="C166" s="54"/>
      <c r="D166" s="54"/>
    </row>
    <row r="167" spans="1:4" x14ac:dyDescent="0.25">
      <c r="A167" s="82"/>
      <c r="B167" s="54"/>
      <c r="C167" s="54"/>
      <c r="D167" s="54"/>
    </row>
    <row r="168" spans="1:4" x14ac:dyDescent="0.25">
      <c r="A168" s="82"/>
      <c r="B168" s="54"/>
      <c r="C168" s="54"/>
      <c r="D168" s="54"/>
    </row>
    <row r="169" spans="1:4" x14ac:dyDescent="0.25">
      <c r="A169" s="82"/>
      <c r="B169" s="54"/>
      <c r="C169" s="54"/>
      <c r="D169" s="54"/>
    </row>
    <row r="170" spans="1:4" x14ac:dyDescent="0.25">
      <c r="A170" s="82"/>
      <c r="B170" s="54"/>
      <c r="C170" s="54"/>
      <c r="D170" s="54"/>
    </row>
    <row r="171" spans="1:4" x14ac:dyDescent="0.25">
      <c r="A171" s="82"/>
      <c r="B171" s="54"/>
      <c r="C171" s="54"/>
      <c r="D171" s="54"/>
    </row>
    <row r="172" spans="1:4" x14ac:dyDescent="0.25">
      <c r="A172" s="82"/>
      <c r="B172" s="54"/>
      <c r="C172" s="54"/>
      <c r="D172" s="54"/>
    </row>
    <row r="173" spans="1:4" x14ac:dyDescent="0.25">
      <c r="A173" s="82"/>
      <c r="B173" s="54"/>
      <c r="C173" s="54"/>
      <c r="D173" s="54"/>
    </row>
    <row r="174" spans="1:4" x14ac:dyDescent="0.25">
      <c r="A174" s="82"/>
      <c r="B174" s="54"/>
      <c r="C174" s="54"/>
      <c r="D174" s="54"/>
    </row>
    <row r="175" spans="1:4" x14ac:dyDescent="0.25">
      <c r="A175" s="82"/>
      <c r="B175" s="54"/>
      <c r="C175" s="54"/>
      <c r="D175" s="54"/>
    </row>
    <row r="176" spans="1:4" x14ac:dyDescent="0.25">
      <c r="A176" s="82"/>
      <c r="B176" s="54"/>
      <c r="C176" s="54"/>
      <c r="D176" s="54"/>
    </row>
    <row r="177" spans="1:4" x14ac:dyDescent="0.25">
      <c r="A177" s="82"/>
      <c r="B177" s="54"/>
      <c r="C177" s="54"/>
      <c r="D177" s="54"/>
    </row>
    <row r="178" spans="1:4" x14ac:dyDescent="0.25">
      <c r="A178" s="82"/>
      <c r="B178" s="54"/>
      <c r="C178" s="54"/>
      <c r="D178" s="54"/>
    </row>
    <row r="179" spans="1:4" x14ac:dyDescent="0.25">
      <c r="A179" s="82"/>
      <c r="B179" s="54"/>
      <c r="C179" s="54"/>
      <c r="D179" s="54"/>
    </row>
    <row r="180" spans="1:4" x14ac:dyDescent="0.25">
      <c r="A180" s="82"/>
      <c r="B180" s="54"/>
      <c r="C180" s="54"/>
      <c r="D180" s="54"/>
    </row>
    <row r="181" spans="1:4" x14ac:dyDescent="0.25">
      <c r="A181" s="82"/>
      <c r="B181" s="54"/>
      <c r="C181" s="54"/>
      <c r="D181" s="54"/>
    </row>
    <row r="182" spans="1:4" x14ac:dyDescent="0.25">
      <c r="A182" s="82"/>
      <c r="B182" s="54"/>
      <c r="C182" s="54"/>
      <c r="D182" s="54"/>
    </row>
    <row r="183" spans="1:4" x14ac:dyDescent="0.25">
      <c r="A183" s="82"/>
      <c r="B183" s="54"/>
      <c r="C183" s="54"/>
      <c r="D183" s="54"/>
    </row>
    <row r="184" spans="1:4" x14ac:dyDescent="0.25">
      <c r="A184" s="82"/>
      <c r="B184" s="54"/>
      <c r="C184" s="54"/>
      <c r="D184" s="54"/>
    </row>
    <row r="185" spans="1:4" x14ac:dyDescent="0.25">
      <c r="A185" s="82"/>
      <c r="B185" s="54"/>
      <c r="C185" s="54"/>
      <c r="D185" s="54"/>
    </row>
    <row r="186" spans="1:4" x14ac:dyDescent="0.25">
      <c r="A186" s="82"/>
      <c r="B186" s="54"/>
      <c r="C186" s="54"/>
      <c r="D186" s="54"/>
    </row>
    <row r="187" spans="1:4" x14ac:dyDescent="0.25">
      <c r="A187" s="82"/>
      <c r="B187" s="54"/>
      <c r="C187" s="54"/>
      <c r="D187" s="54"/>
    </row>
    <row r="188" spans="1:4" x14ac:dyDescent="0.25">
      <c r="A188" s="82"/>
      <c r="B188" s="54"/>
      <c r="C188" s="54"/>
      <c r="D188" s="54"/>
    </row>
    <row r="189" spans="1:4" x14ac:dyDescent="0.25">
      <c r="A189" s="82"/>
      <c r="B189" s="54"/>
      <c r="C189" s="54"/>
      <c r="D189" s="54"/>
    </row>
    <row r="190" spans="1:4" x14ac:dyDescent="0.25">
      <c r="A190" s="82"/>
      <c r="B190" s="54"/>
      <c r="C190" s="54"/>
      <c r="D190" s="54"/>
    </row>
    <row r="191" spans="1:4" x14ac:dyDescent="0.25">
      <c r="A191" s="82"/>
      <c r="B191" s="54"/>
      <c r="C191" s="54"/>
      <c r="D191" s="54"/>
    </row>
    <row r="192" spans="1:4" x14ac:dyDescent="0.25">
      <c r="A192" s="82"/>
      <c r="B192" s="54"/>
      <c r="C192" s="54"/>
      <c r="D192" s="54"/>
    </row>
    <row r="193" spans="1:4" x14ac:dyDescent="0.25">
      <c r="A193" s="82"/>
      <c r="B193" s="54"/>
      <c r="C193" s="54"/>
      <c r="D193" s="54"/>
    </row>
    <row r="194" spans="1:4" x14ac:dyDescent="0.25">
      <c r="A194" s="82"/>
      <c r="B194" s="54"/>
      <c r="C194" s="54"/>
      <c r="D194" s="54"/>
    </row>
    <row r="195" spans="1:4" x14ac:dyDescent="0.25">
      <c r="A195" s="82"/>
      <c r="B195" s="54"/>
      <c r="C195" s="54"/>
      <c r="D195" s="54"/>
    </row>
    <row r="196" spans="1:4" x14ac:dyDescent="0.25">
      <c r="A196" s="82"/>
      <c r="B196" s="54"/>
      <c r="C196" s="54"/>
      <c r="D196" s="54"/>
    </row>
    <row r="197" spans="1:4" x14ac:dyDescent="0.25">
      <c r="A197" s="82"/>
      <c r="B197" s="54"/>
      <c r="C197" s="54"/>
      <c r="D197" s="54"/>
    </row>
    <row r="198" spans="1:4" x14ac:dyDescent="0.25">
      <c r="A198" s="82"/>
      <c r="B198" s="54"/>
      <c r="C198" s="54"/>
      <c r="D198" s="54"/>
    </row>
    <row r="199" spans="1:4" x14ac:dyDescent="0.25">
      <c r="A199" s="82"/>
      <c r="B199" s="54"/>
      <c r="C199" s="54"/>
      <c r="D199" s="54"/>
    </row>
    <row r="200" spans="1:4" x14ac:dyDescent="0.25">
      <c r="A200" s="82"/>
      <c r="B200" s="54"/>
      <c r="C200" s="54"/>
      <c r="D200" s="54"/>
    </row>
    <row r="201" spans="1:4" x14ac:dyDescent="0.25">
      <c r="A201" s="82"/>
      <c r="B201" s="54"/>
      <c r="C201" s="54"/>
      <c r="D201" s="54"/>
    </row>
    <row r="202" spans="1:4" x14ac:dyDescent="0.25">
      <c r="A202" s="82"/>
      <c r="B202" s="54"/>
      <c r="C202" s="54"/>
      <c r="D202" s="54"/>
    </row>
    <row r="203" spans="1:4" x14ac:dyDescent="0.25">
      <c r="A203" s="82"/>
      <c r="B203" s="54"/>
      <c r="C203" s="54"/>
      <c r="D203" s="54"/>
    </row>
    <row r="204" spans="1:4" x14ac:dyDescent="0.25">
      <c r="A204" s="82"/>
      <c r="B204" s="54"/>
      <c r="C204" s="54"/>
      <c r="D204" s="54"/>
    </row>
    <row r="205" spans="1:4" x14ac:dyDescent="0.25">
      <c r="A205" s="82"/>
      <c r="B205" s="54"/>
      <c r="C205" s="54"/>
      <c r="D205" s="54"/>
    </row>
    <row r="206" spans="1:4" x14ac:dyDescent="0.25">
      <c r="A206" s="82"/>
      <c r="B206" s="54"/>
      <c r="C206" s="54"/>
      <c r="D206" s="54"/>
    </row>
    <row r="207" spans="1:4" x14ac:dyDescent="0.25">
      <c r="A207" s="82"/>
      <c r="B207" s="54"/>
      <c r="C207" s="54"/>
      <c r="D207" s="54"/>
    </row>
    <row r="208" spans="1:4" x14ac:dyDescent="0.25">
      <c r="A208" s="82"/>
      <c r="B208" s="54"/>
      <c r="C208" s="54"/>
      <c r="D208" s="54"/>
    </row>
    <row r="209" spans="1:4" x14ac:dyDescent="0.25">
      <c r="A209" s="82"/>
      <c r="B209" s="54"/>
      <c r="C209" s="54"/>
      <c r="D209" s="54"/>
    </row>
    <row r="210" spans="1:4" x14ac:dyDescent="0.25">
      <c r="A210" s="82"/>
      <c r="B210" s="54"/>
      <c r="C210" s="54"/>
      <c r="D210" s="54"/>
    </row>
    <row r="211" spans="1:4" x14ac:dyDescent="0.25">
      <c r="A211" s="82"/>
      <c r="B211" s="54"/>
      <c r="C211" s="54"/>
      <c r="D211" s="54"/>
    </row>
    <row r="212" spans="1:4" x14ac:dyDescent="0.25">
      <c r="A212" s="82"/>
      <c r="B212" s="54"/>
      <c r="C212" s="54"/>
      <c r="D212" s="54"/>
    </row>
    <row r="213" spans="1:4" x14ac:dyDescent="0.25">
      <c r="A213" s="82"/>
      <c r="B213" s="54"/>
      <c r="C213" s="54"/>
      <c r="D213" s="54"/>
    </row>
    <row r="214" spans="1:4" x14ac:dyDescent="0.25">
      <c r="A214" s="82"/>
      <c r="B214" s="54"/>
      <c r="C214" s="54"/>
      <c r="D214" s="54"/>
    </row>
    <row r="215" spans="1:4" x14ac:dyDescent="0.25">
      <c r="A215" s="82"/>
      <c r="B215" s="54"/>
      <c r="C215" s="54"/>
      <c r="D215" s="54"/>
    </row>
    <row r="216" spans="1:4" x14ac:dyDescent="0.25">
      <c r="A216" s="82"/>
      <c r="B216" s="54"/>
      <c r="C216" s="54"/>
      <c r="D216" s="54"/>
    </row>
    <row r="217" spans="1:4" x14ac:dyDescent="0.25">
      <c r="A217" s="82"/>
      <c r="B217" s="54"/>
      <c r="C217" s="54"/>
      <c r="D217" s="54"/>
    </row>
    <row r="218" spans="1:4" x14ac:dyDescent="0.25">
      <c r="A218" s="82"/>
      <c r="B218" s="54"/>
      <c r="C218" s="54"/>
      <c r="D218" s="54"/>
    </row>
    <row r="219" spans="1:4" x14ac:dyDescent="0.25">
      <c r="A219" s="82"/>
      <c r="B219" s="54"/>
      <c r="C219" s="54"/>
      <c r="D219" s="54"/>
    </row>
    <row r="220" spans="1:4" x14ac:dyDescent="0.25">
      <c r="A220" s="82"/>
      <c r="B220" s="54"/>
      <c r="C220" s="54"/>
      <c r="D220" s="54"/>
    </row>
    <row r="221" spans="1:4" x14ac:dyDescent="0.25">
      <c r="A221" s="82"/>
      <c r="B221" s="54"/>
      <c r="C221" s="54"/>
      <c r="D221" s="54"/>
    </row>
    <row r="222" spans="1:4" x14ac:dyDescent="0.25">
      <c r="A222" s="82"/>
      <c r="B222" s="54"/>
      <c r="C222" s="54"/>
      <c r="D222" s="54"/>
    </row>
    <row r="223" spans="1:4" x14ac:dyDescent="0.25">
      <c r="A223" s="82"/>
      <c r="B223" s="54"/>
      <c r="C223" s="54"/>
      <c r="D223" s="54"/>
    </row>
    <row r="224" spans="1:4" x14ac:dyDescent="0.25">
      <c r="A224" s="82"/>
      <c r="B224" s="54"/>
      <c r="C224" s="54"/>
      <c r="D224" s="54"/>
    </row>
    <row r="225" spans="1:4" x14ac:dyDescent="0.25">
      <c r="A225" s="82"/>
      <c r="B225" s="54"/>
      <c r="C225" s="54"/>
      <c r="D225" s="54"/>
    </row>
    <row r="226" spans="1:4" x14ac:dyDescent="0.25">
      <c r="A226" s="82"/>
      <c r="B226" s="54"/>
      <c r="C226" s="54"/>
      <c r="D226" s="54"/>
    </row>
    <row r="227" spans="1:4" x14ac:dyDescent="0.25">
      <c r="A227" s="82"/>
      <c r="B227" s="54"/>
      <c r="C227" s="54"/>
      <c r="D227" s="54"/>
    </row>
    <row r="228" spans="1:4" x14ac:dyDescent="0.25">
      <c r="A228" s="82"/>
      <c r="B228" s="54"/>
      <c r="C228" s="54"/>
      <c r="D228" s="54"/>
    </row>
    <row r="229" spans="1:4" x14ac:dyDescent="0.25">
      <c r="A229" s="82"/>
      <c r="B229" s="54"/>
      <c r="C229" s="54"/>
      <c r="D229" s="54"/>
    </row>
    <row r="230" spans="1:4" x14ac:dyDescent="0.25">
      <c r="A230" s="82"/>
      <c r="B230" s="54"/>
      <c r="C230" s="54"/>
      <c r="D230" s="54"/>
    </row>
    <row r="231" spans="1:4" x14ac:dyDescent="0.25">
      <c r="A231" s="82"/>
      <c r="B231" s="54"/>
      <c r="C231" s="54"/>
      <c r="D231" s="54"/>
    </row>
    <row r="232" spans="1:4" x14ac:dyDescent="0.25">
      <c r="A232" s="82"/>
      <c r="B232" s="54"/>
      <c r="C232" s="54"/>
      <c r="D232" s="54"/>
    </row>
    <row r="233" spans="1:4" x14ac:dyDescent="0.25">
      <c r="A233" s="82"/>
      <c r="B233" s="54"/>
      <c r="C233" s="54"/>
      <c r="D233" s="54"/>
    </row>
    <row r="234" spans="1:4" x14ac:dyDescent="0.25">
      <c r="A234" s="82"/>
      <c r="B234" s="54"/>
      <c r="C234" s="54"/>
      <c r="D234" s="54"/>
    </row>
    <row r="235" spans="1:4" x14ac:dyDescent="0.25">
      <c r="A235" s="82"/>
      <c r="B235" s="54"/>
      <c r="C235" s="54"/>
      <c r="D235" s="54"/>
    </row>
    <row r="236" spans="1:4" x14ac:dyDescent="0.25">
      <c r="A236" s="82"/>
      <c r="B236" s="54"/>
      <c r="C236" s="54"/>
      <c r="D236" s="54"/>
    </row>
    <row r="237" spans="1:4" x14ac:dyDescent="0.25">
      <c r="A237" s="82"/>
      <c r="B237" s="54"/>
      <c r="C237" s="54"/>
      <c r="D237" s="54"/>
    </row>
    <row r="238" spans="1:4" x14ac:dyDescent="0.25">
      <c r="A238" s="82"/>
      <c r="B238" s="54"/>
      <c r="C238" s="54"/>
      <c r="D238" s="54"/>
    </row>
    <row r="239" spans="1:4" x14ac:dyDescent="0.25">
      <c r="A239" s="82"/>
      <c r="B239" s="54"/>
      <c r="C239" s="54"/>
      <c r="D239" s="54"/>
    </row>
    <row r="240" spans="1:4" x14ac:dyDescent="0.25">
      <c r="A240" s="82"/>
      <c r="B240" s="54"/>
      <c r="C240" s="54"/>
      <c r="D240" s="54"/>
    </row>
    <row r="241" spans="1:4" x14ac:dyDescent="0.25">
      <c r="A241" s="82"/>
      <c r="B241" s="54"/>
      <c r="C241" s="54"/>
      <c r="D241" s="54"/>
    </row>
    <row r="242" spans="1:4" x14ac:dyDescent="0.25">
      <c r="A242" s="82"/>
      <c r="B242" s="54"/>
      <c r="C242" s="54"/>
      <c r="D242" s="54"/>
    </row>
    <row r="243" spans="1:4" x14ac:dyDescent="0.25">
      <c r="A243" s="82"/>
      <c r="B243" s="54"/>
      <c r="C243" s="54"/>
      <c r="D243" s="54"/>
    </row>
    <row r="244" spans="1:4" x14ac:dyDescent="0.25">
      <c r="A244" s="82"/>
      <c r="B244" s="54"/>
      <c r="C244" s="54"/>
      <c r="D244" s="54"/>
    </row>
    <row r="245" spans="1:4" x14ac:dyDescent="0.25">
      <c r="A245" s="82"/>
      <c r="B245" s="54"/>
      <c r="C245" s="54"/>
      <c r="D245" s="54"/>
    </row>
    <row r="246" spans="1:4" x14ac:dyDescent="0.25">
      <c r="A246" s="82"/>
      <c r="B246" s="54"/>
      <c r="C246" s="54"/>
      <c r="D246" s="54"/>
    </row>
    <row r="247" spans="1:4" x14ac:dyDescent="0.25">
      <c r="A247" s="82"/>
      <c r="B247" s="54"/>
      <c r="C247" s="54"/>
      <c r="D247" s="54"/>
    </row>
    <row r="248" spans="1:4" x14ac:dyDescent="0.25">
      <c r="A248" s="82"/>
      <c r="B248" s="54"/>
      <c r="C248" s="54"/>
      <c r="D248" s="54"/>
    </row>
    <row r="249" spans="1:4" x14ac:dyDescent="0.25">
      <c r="A249" s="82"/>
      <c r="B249" s="54"/>
      <c r="C249" s="54"/>
      <c r="D249" s="54"/>
    </row>
    <row r="250" spans="1:4" x14ac:dyDescent="0.25">
      <c r="A250" s="82"/>
      <c r="B250" s="54"/>
      <c r="C250" s="54"/>
      <c r="D250" s="54"/>
    </row>
    <row r="251" spans="1:4" x14ac:dyDescent="0.25">
      <c r="A251" s="82"/>
      <c r="B251" s="54"/>
      <c r="C251" s="54"/>
      <c r="D251" s="54"/>
    </row>
    <row r="252" spans="1:4" x14ac:dyDescent="0.25">
      <c r="A252" s="82"/>
      <c r="B252" s="54"/>
      <c r="C252" s="54"/>
      <c r="D252" s="54"/>
    </row>
    <row r="253" spans="1:4" x14ac:dyDescent="0.25">
      <c r="A253" s="82"/>
      <c r="B253" s="54"/>
      <c r="C253" s="54"/>
      <c r="D253" s="54"/>
    </row>
    <row r="254" spans="1:4" x14ac:dyDescent="0.25">
      <c r="A254" s="82"/>
      <c r="B254" s="54"/>
      <c r="C254" s="54"/>
      <c r="D254" s="54"/>
    </row>
    <row r="255" spans="1:4" x14ac:dyDescent="0.25">
      <c r="A255" s="82"/>
      <c r="B255" s="54"/>
      <c r="C255" s="54"/>
      <c r="D255" s="54"/>
    </row>
    <row r="256" spans="1:4" x14ac:dyDescent="0.25">
      <c r="A256" s="82"/>
      <c r="B256" s="54"/>
      <c r="C256" s="54"/>
      <c r="D256" s="54"/>
    </row>
    <row r="257" spans="1:4" x14ac:dyDescent="0.25">
      <c r="A257" s="82"/>
      <c r="B257" s="54"/>
      <c r="C257" s="54"/>
      <c r="D257" s="54"/>
    </row>
    <row r="258" spans="1:4" x14ac:dyDescent="0.25">
      <c r="A258" s="82"/>
      <c r="B258" s="54"/>
      <c r="C258" s="54"/>
      <c r="D258" s="54"/>
    </row>
    <row r="259" spans="1:4" x14ac:dyDescent="0.25">
      <c r="A259" s="82"/>
      <c r="B259" s="54"/>
      <c r="C259" s="54"/>
      <c r="D259" s="54"/>
    </row>
    <row r="260" spans="1:4" x14ac:dyDescent="0.25">
      <c r="A260" s="82"/>
      <c r="B260" s="54"/>
      <c r="C260" s="54"/>
      <c r="D260" s="54"/>
    </row>
    <row r="261" spans="1:4" x14ac:dyDescent="0.25">
      <c r="A261" s="82"/>
      <c r="B261" s="54"/>
      <c r="C261" s="54"/>
      <c r="D261" s="54"/>
    </row>
    <row r="262" spans="1:4" x14ac:dyDescent="0.25">
      <c r="A262" s="82"/>
      <c r="B262" s="54"/>
      <c r="C262" s="54"/>
      <c r="D262" s="54"/>
    </row>
    <row r="263" spans="1:4" x14ac:dyDescent="0.25">
      <c r="A263" s="82"/>
      <c r="B263" s="54"/>
      <c r="C263" s="54"/>
      <c r="D263" s="54"/>
    </row>
    <row r="264" spans="1:4" x14ac:dyDescent="0.25">
      <c r="A264" s="82"/>
      <c r="B264" s="54"/>
      <c r="C264" s="54"/>
      <c r="D264" s="54"/>
    </row>
    <row r="265" spans="1:4" x14ac:dyDescent="0.25">
      <c r="A265" s="82"/>
      <c r="B265" s="54"/>
      <c r="C265" s="54"/>
      <c r="D265" s="54"/>
    </row>
    <row r="266" spans="1:4" x14ac:dyDescent="0.25">
      <c r="A266" s="82"/>
      <c r="B266" s="54"/>
      <c r="C266" s="54"/>
      <c r="D266" s="54"/>
    </row>
    <row r="267" spans="1:4" x14ac:dyDescent="0.25">
      <c r="A267" s="82"/>
      <c r="B267" s="54"/>
      <c r="C267" s="54"/>
      <c r="D267" s="54"/>
    </row>
    <row r="268" spans="1:4" x14ac:dyDescent="0.25">
      <c r="A268" s="82"/>
      <c r="B268" s="54"/>
      <c r="C268" s="54"/>
      <c r="D268" s="54"/>
    </row>
    <row r="269" spans="1:4" x14ac:dyDescent="0.25">
      <c r="A269" s="82"/>
      <c r="B269" s="54"/>
      <c r="C269" s="54"/>
      <c r="D269" s="54"/>
    </row>
    <row r="270" spans="1:4" x14ac:dyDescent="0.25">
      <c r="A270" s="82"/>
      <c r="B270" s="54"/>
      <c r="C270" s="54"/>
      <c r="D270" s="54"/>
    </row>
    <row r="271" spans="1:4" x14ac:dyDescent="0.25">
      <c r="A271" s="82"/>
      <c r="B271" s="54"/>
      <c r="C271" s="54"/>
      <c r="D271" s="54"/>
    </row>
    <row r="272" spans="1:4" x14ac:dyDescent="0.25">
      <c r="A272" s="82"/>
      <c r="B272" s="54"/>
      <c r="C272" s="54"/>
      <c r="D272" s="54"/>
    </row>
    <row r="273" spans="1:4" x14ac:dyDescent="0.25">
      <c r="A273" s="82"/>
      <c r="B273" s="54"/>
      <c r="C273" s="54"/>
      <c r="D273" s="54"/>
    </row>
    <row r="274" spans="1:4" x14ac:dyDescent="0.25">
      <c r="A274" s="82"/>
      <c r="B274" s="54"/>
      <c r="C274" s="54"/>
      <c r="D274" s="54"/>
    </row>
    <row r="275" spans="1:4" x14ac:dyDescent="0.25">
      <c r="A275" s="82"/>
      <c r="B275" s="54"/>
      <c r="C275" s="54"/>
      <c r="D275" s="54"/>
    </row>
    <row r="276" spans="1:4" x14ac:dyDescent="0.25">
      <c r="A276" s="82"/>
      <c r="B276" s="54"/>
      <c r="C276" s="54"/>
      <c r="D276" s="54"/>
    </row>
    <row r="277" spans="1:4" x14ac:dyDescent="0.25">
      <c r="A277" s="82"/>
      <c r="B277" s="54"/>
      <c r="C277" s="54"/>
      <c r="D277" s="54"/>
    </row>
    <row r="278" spans="1:4" x14ac:dyDescent="0.25">
      <c r="A278" s="82"/>
      <c r="B278" s="54"/>
      <c r="C278" s="54"/>
      <c r="D278" s="54"/>
    </row>
    <row r="279" spans="1:4" x14ac:dyDescent="0.25">
      <c r="A279" s="82"/>
      <c r="B279" s="54"/>
      <c r="C279" s="54"/>
      <c r="D279" s="54"/>
    </row>
    <row r="280" spans="1:4" x14ac:dyDescent="0.25">
      <c r="A280" s="82"/>
      <c r="B280" s="54"/>
      <c r="C280" s="54"/>
      <c r="D280" s="54"/>
    </row>
    <row r="281" spans="1:4" x14ac:dyDescent="0.25">
      <c r="A281" s="82"/>
      <c r="B281" s="54"/>
      <c r="C281" s="54"/>
      <c r="D281" s="54"/>
    </row>
    <row r="282" spans="1:4" x14ac:dyDescent="0.25">
      <c r="A282" s="82"/>
      <c r="B282" s="54"/>
      <c r="C282" s="54"/>
      <c r="D282" s="54"/>
    </row>
    <row r="283" spans="1:4" x14ac:dyDescent="0.25">
      <c r="A283" s="82"/>
      <c r="B283" s="54"/>
      <c r="C283" s="54"/>
      <c r="D283" s="54"/>
    </row>
    <row r="284" spans="1:4" x14ac:dyDescent="0.25">
      <c r="A284" s="82"/>
      <c r="B284" s="54"/>
      <c r="C284" s="54"/>
      <c r="D284" s="54"/>
    </row>
    <row r="285" spans="1:4" x14ac:dyDescent="0.25">
      <c r="A285" s="82"/>
      <c r="B285" s="54"/>
      <c r="C285" s="54"/>
      <c r="D285" s="54"/>
    </row>
    <row r="286" spans="1:4" x14ac:dyDescent="0.25">
      <c r="A286" s="82"/>
      <c r="B286" s="54"/>
      <c r="C286" s="54"/>
      <c r="D286" s="54"/>
    </row>
    <row r="287" spans="1:4" x14ac:dyDescent="0.25">
      <c r="A287" s="82"/>
      <c r="B287" s="54"/>
      <c r="C287" s="54"/>
      <c r="D287" s="54"/>
    </row>
    <row r="288" spans="1:4" x14ac:dyDescent="0.25">
      <c r="A288" s="82"/>
      <c r="B288" s="54"/>
      <c r="C288" s="54"/>
      <c r="D288" s="54"/>
    </row>
    <row r="289" spans="1:4" x14ac:dyDescent="0.25">
      <c r="A289" s="82"/>
      <c r="B289" s="54"/>
      <c r="C289" s="54"/>
      <c r="D289" s="54"/>
    </row>
    <row r="290" spans="1:4" x14ac:dyDescent="0.25">
      <c r="A290" s="82"/>
      <c r="B290" s="54"/>
      <c r="C290" s="54"/>
      <c r="D290" s="54"/>
    </row>
    <row r="291" spans="1:4" x14ac:dyDescent="0.25">
      <c r="A291" s="82"/>
      <c r="B291" s="54"/>
      <c r="C291" s="54"/>
      <c r="D291" s="54"/>
    </row>
    <row r="292" spans="1:4" x14ac:dyDescent="0.25">
      <c r="A292" s="82"/>
      <c r="B292" s="54"/>
      <c r="C292" s="54"/>
      <c r="D292" s="54"/>
    </row>
    <row r="293" spans="1:4" x14ac:dyDescent="0.25">
      <c r="A293" s="82"/>
      <c r="B293" s="54"/>
      <c r="C293" s="54"/>
      <c r="D293" s="54"/>
    </row>
    <row r="294" spans="1:4" x14ac:dyDescent="0.25">
      <c r="A294" s="82"/>
      <c r="B294" s="54"/>
      <c r="C294" s="54"/>
      <c r="D294" s="54"/>
    </row>
    <row r="295" spans="1:4" x14ac:dyDescent="0.25">
      <c r="A295" s="82"/>
      <c r="B295" s="54"/>
      <c r="C295" s="54"/>
      <c r="D295" s="54"/>
    </row>
    <row r="296" spans="1:4" x14ac:dyDescent="0.25">
      <c r="A296" s="82"/>
      <c r="B296" s="54"/>
      <c r="C296" s="54"/>
      <c r="D296" s="54"/>
    </row>
    <row r="297" spans="1:4" x14ac:dyDescent="0.25">
      <c r="A297" s="82"/>
      <c r="B297" s="54"/>
      <c r="C297" s="54"/>
      <c r="D297" s="54"/>
    </row>
    <row r="298" spans="1:4" x14ac:dyDescent="0.25">
      <c r="A298" s="82"/>
      <c r="B298" s="54"/>
      <c r="C298" s="54"/>
      <c r="D298" s="54"/>
    </row>
    <row r="299" spans="1:4" x14ac:dyDescent="0.25">
      <c r="A299" s="82"/>
      <c r="B299" s="54"/>
      <c r="C299" s="54"/>
      <c r="D299" s="54"/>
    </row>
    <row r="300" spans="1:4" x14ac:dyDescent="0.25">
      <c r="A300" s="82"/>
      <c r="B300" s="54"/>
      <c r="C300" s="54"/>
      <c r="D300" s="54"/>
    </row>
    <row r="301" spans="1:4" x14ac:dyDescent="0.25">
      <c r="A301" s="82"/>
      <c r="B301" s="54"/>
      <c r="C301" s="54"/>
      <c r="D301" s="54"/>
    </row>
    <row r="302" spans="1:4" x14ac:dyDescent="0.25">
      <c r="A302" s="82"/>
      <c r="B302" s="54"/>
      <c r="C302" s="54"/>
      <c r="D302" s="54"/>
    </row>
    <row r="303" spans="1:4" x14ac:dyDescent="0.25">
      <c r="A303" s="82"/>
      <c r="B303" s="54"/>
      <c r="C303" s="54"/>
      <c r="D303" s="54"/>
    </row>
    <row r="304" spans="1:4" x14ac:dyDescent="0.25">
      <c r="A304" s="82"/>
      <c r="B304" s="54"/>
      <c r="C304" s="54"/>
      <c r="D304" s="54"/>
    </row>
    <row r="305" spans="1:4" x14ac:dyDescent="0.25">
      <c r="A305" s="82"/>
      <c r="B305" s="54"/>
      <c r="C305" s="54"/>
      <c r="D305" s="54"/>
    </row>
    <row r="306" spans="1:4" x14ac:dyDescent="0.25">
      <c r="A306" s="82"/>
      <c r="B306" s="54"/>
      <c r="C306" s="54"/>
      <c r="D306" s="54"/>
    </row>
    <row r="307" spans="1:4" x14ac:dyDescent="0.25">
      <c r="A307" s="82"/>
      <c r="B307" s="54"/>
      <c r="C307" s="54"/>
      <c r="D307" s="54"/>
    </row>
    <row r="308" spans="1:4" x14ac:dyDescent="0.25">
      <c r="A308" s="82"/>
      <c r="B308" s="54"/>
      <c r="C308" s="54"/>
      <c r="D308" s="54"/>
    </row>
    <row r="309" spans="1:4" x14ac:dyDescent="0.25">
      <c r="A309" s="82"/>
      <c r="B309" s="54"/>
      <c r="C309" s="54"/>
      <c r="D309" s="54"/>
    </row>
    <row r="310" spans="1:4" x14ac:dyDescent="0.25">
      <c r="A310" s="82"/>
      <c r="B310" s="54"/>
      <c r="C310" s="54"/>
      <c r="D310" s="54"/>
    </row>
    <row r="311" spans="1:4" x14ac:dyDescent="0.25">
      <c r="A311" s="82"/>
      <c r="B311" s="54"/>
      <c r="C311" s="54"/>
      <c r="D311" s="54"/>
    </row>
    <row r="312" spans="1:4" x14ac:dyDescent="0.25">
      <c r="A312" s="82"/>
      <c r="B312" s="54"/>
      <c r="C312" s="54"/>
      <c r="D312" s="54"/>
    </row>
    <row r="313" spans="1:4" x14ac:dyDescent="0.25">
      <c r="A313" s="82"/>
      <c r="B313" s="54"/>
      <c r="C313" s="54"/>
      <c r="D313" s="54"/>
    </row>
    <row r="314" spans="1:4" x14ac:dyDescent="0.25">
      <c r="A314" s="82"/>
      <c r="B314" s="54"/>
      <c r="C314" s="54"/>
      <c r="D314" s="54"/>
    </row>
    <row r="315" spans="1:4" x14ac:dyDescent="0.25">
      <c r="A315" s="82"/>
      <c r="B315" s="54"/>
      <c r="C315" s="54"/>
      <c r="D315" s="54"/>
    </row>
    <row r="316" spans="1:4" x14ac:dyDescent="0.25">
      <c r="A316" s="82"/>
      <c r="B316" s="54"/>
      <c r="C316" s="54"/>
      <c r="D316" s="54"/>
    </row>
    <row r="317" spans="1:4" x14ac:dyDescent="0.25">
      <c r="A317" s="82"/>
      <c r="B317" s="54"/>
      <c r="C317" s="54"/>
      <c r="D317" s="54"/>
    </row>
    <row r="318" spans="1:4" x14ac:dyDescent="0.25">
      <c r="A318" s="82"/>
      <c r="B318" s="54"/>
      <c r="C318" s="54"/>
      <c r="D318" s="54"/>
    </row>
    <row r="319" spans="1:4" x14ac:dyDescent="0.25">
      <c r="A319" s="82"/>
      <c r="B319" s="54"/>
      <c r="C319" s="54"/>
      <c r="D319" s="54"/>
    </row>
    <row r="320" spans="1:4" x14ac:dyDescent="0.25">
      <c r="A320" s="82"/>
      <c r="B320" s="54"/>
      <c r="C320" s="54"/>
      <c r="D320" s="54"/>
    </row>
    <row r="321" spans="1:4" x14ac:dyDescent="0.25">
      <c r="A321" s="82"/>
      <c r="B321" s="54"/>
      <c r="C321" s="54"/>
      <c r="D321" s="54"/>
    </row>
    <row r="322" spans="1:4" x14ac:dyDescent="0.25">
      <c r="A322" s="82"/>
      <c r="B322" s="54"/>
      <c r="C322" s="54"/>
      <c r="D322" s="54"/>
    </row>
    <row r="323" spans="1:4" x14ac:dyDescent="0.25">
      <c r="A323" s="82"/>
      <c r="B323" s="54"/>
      <c r="C323" s="54"/>
      <c r="D323" s="54"/>
    </row>
    <row r="324" spans="1:4" x14ac:dyDescent="0.25">
      <c r="A324" s="82"/>
      <c r="B324" s="54"/>
      <c r="C324" s="54"/>
      <c r="D324" s="54"/>
    </row>
    <row r="325" spans="1:4" x14ac:dyDescent="0.25">
      <c r="A325" s="82"/>
      <c r="B325" s="54"/>
      <c r="C325" s="54"/>
      <c r="D325" s="54"/>
    </row>
    <row r="326" spans="1:4" x14ac:dyDescent="0.25">
      <c r="A326" s="82"/>
      <c r="B326" s="54"/>
      <c r="C326" s="54"/>
      <c r="D326" s="54"/>
    </row>
    <row r="327" spans="1:4" x14ac:dyDescent="0.25">
      <c r="A327" s="82"/>
      <c r="B327" s="54"/>
      <c r="C327" s="54"/>
      <c r="D327" s="54"/>
    </row>
    <row r="328" spans="1:4" x14ac:dyDescent="0.25">
      <c r="A328" s="82"/>
      <c r="B328" s="54"/>
      <c r="C328" s="54"/>
      <c r="D328" s="54"/>
    </row>
    <row r="329" spans="1:4" x14ac:dyDescent="0.25">
      <c r="A329" s="82"/>
      <c r="B329" s="54"/>
      <c r="C329" s="54"/>
      <c r="D329" s="54"/>
    </row>
    <row r="330" spans="1:4" x14ac:dyDescent="0.25">
      <c r="A330" s="82"/>
      <c r="B330" s="54"/>
      <c r="C330" s="54"/>
      <c r="D330" s="54"/>
    </row>
    <row r="331" spans="1:4" x14ac:dyDescent="0.25">
      <c r="A331" s="82"/>
      <c r="B331" s="54"/>
      <c r="C331" s="54"/>
      <c r="D331" s="54"/>
    </row>
    <row r="332" spans="1:4" x14ac:dyDescent="0.25">
      <c r="A332" s="82"/>
      <c r="B332" s="54"/>
      <c r="C332" s="54"/>
      <c r="D332" s="54"/>
    </row>
    <row r="333" spans="1:4" x14ac:dyDescent="0.25">
      <c r="A333" s="82"/>
      <c r="B333" s="54"/>
      <c r="C333" s="54"/>
      <c r="D333" s="54"/>
    </row>
    <row r="334" spans="1:4" x14ac:dyDescent="0.25">
      <c r="A334" s="82"/>
      <c r="B334" s="54"/>
      <c r="C334" s="54"/>
      <c r="D334" s="54"/>
    </row>
    <row r="335" spans="1:4" x14ac:dyDescent="0.25">
      <c r="A335" s="82"/>
      <c r="B335" s="54"/>
      <c r="C335" s="54"/>
      <c r="D335" s="54"/>
    </row>
    <row r="336" spans="1:4" x14ac:dyDescent="0.25">
      <c r="A336" s="82"/>
      <c r="B336" s="54"/>
      <c r="C336" s="54"/>
      <c r="D336" s="54"/>
    </row>
    <row r="337" spans="1:4" x14ac:dyDescent="0.25">
      <c r="A337" s="82"/>
      <c r="B337" s="54"/>
      <c r="C337" s="54"/>
      <c r="D337" s="54"/>
    </row>
    <row r="338" spans="1:4" x14ac:dyDescent="0.25">
      <c r="A338" s="82"/>
      <c r="B338" s="54"/>
      <c r="C338" s="54"/>
      <c r="D338" s="54"/>
    </row>
    <row r="339" spans="1:4" x14ac:dyDescent="0.25">
      <c r="A339" s="82"/>
      <c r="B339" s="54"/>
      <c r="C339" s="54"/>
      <c r="D339" s="54"/>
    </row>
    <row r="340" spans="1:4" x14ac:dyDescent="0.25">
      <c r="A340" s="82"/>
      <c r="B340" s="54"/>
      <c r="C340" s="54"/>
      <c r="D340" s="54"/>
    </row>
    <row r="341" spans="1:4" x14ac:dyDescent="0.25">
      <c r="A341" s="82"/>
      <c r="B341" s="54"/>
      <c r="C341" s="54"/>
      <c r="D341" s="54"/>
    </row>
    <row r="342" spans="1:4" x14ac:dyDescent="0.25">
      <c r="A342" s="82"/>
      <c r="B342" s="54"/>
      <c r="C342" s="54"/>
      <c r="D342" s="54"/>
    </row>
    <row r="343" spans="1:4" x14ac:dyDescent="0.25">
      <c r="A343" s="82"/>
      <c r="B343" s="54"/>
      <c r="C343" s="54"/>
      <c r="D343" s="54"/>
    </row>
    <row r="344" spans="1:4" x14ac:dyDescent="0.25">
      <c r="A344" s="82"/>
      <c r="B344" s="54"/>
      <c r="C344" s="54"/>
      <c r="D344" s="54"/>
    </row>
    <row r="345" spans="1:4" x14ac:dyDescent="0.25">
      <c r="A345" s="82"/>
      <c r="B345" s="54"/>
      <c r="C345" s="54"/>
      <c r="D345" s="54"/>
    </row>
    <row r="346" spans="1:4" x14ac:dyDescent="0.25">
      <c r="A346" s="82"/>
      <c r="B346" s="54"/>
      <c r="C346" s="54"/>
      <c r="D346" s="54"/>
    </row>
    <row r="347" spans="1:4" x14ac:dyDescent="0.25">
      <c r="A347" s="82"/>
      <c r="B347" s="54"/>
      <c r="C347" s="54"/>
      <c r="D347" s="54"/>
    </row>
    <row r="348" spans="1:4" x14ac:dyDescent="0.25">
      <c r="A348" s="82"/>
      <c r="B348" s="54"/>
      <c r="C348" s="54"/>
      <c r="D348" s="54"/>
    </row>
    <row r="349" spans="1:4" x14ac:dyDescent="0.25">
      <c r="A349" s="82"/>
      <c r="B349" s="54"/>
      <c r="C349" s="54"/>
      <c r="D349" s="54"/>
    </row>
    <row r="350" spans="1:4" x14ac:dyDescent="0.25">
      <c r="A350" s="82"/>
      <c r="B350" s="54"/>
      <c r="C350" s="54"/>
      <c r="D350" s="54"/>
    </row>
    <row r="351" spans="1:4" x14ac:dyDescent="0.25">
      <c r="A351" s="82"/>
      <c r="B351" s="54"/>
      <c r="C351" s="54"/>
      <c r="D351" s="54"/>
    </row>
    <row r="352" spans="1:4" x14ac:dyDescent="0.25">
      <c r="A352" s="82"/>
      <c r="B352" s="54"/>
      <c r="C352" s="54"/>
      <c r="D352" s="54"/>
    </row>
    <row r="353" spans="1:4" x14ac:dyDescent="0.25">
      <c r="A353" s="82"/>
      <c r="B353" s="54"/>
      <c r="C353" s="54"/>
      <c r="D353" s="54"/>
    </row>
    <row r="354" spans="1:4" x14ac:dyDescent="0.25">
      <c r="A354" s="82"/>
      <c r="B354" s="54"/>
      <c r="C354" s="54"/>
      <c r="D354" s="54"/>
    </row>
    <row r="355" spans="1:4" x14ac:dyDescent="0.25">
      <c r="A355" s="82"/>
      <c r="B355" s="54"/>
      <c r="C355" s="54"/>
      <c r="D355" s="54"/>
    </row>
    <row r="356" spans="1:4" x14ac:dyDescent="0.25">
      <c r="A356" s="82"/>
      <c r="B356" s="54"/>
      <c r="C356" s="54"/>
      <c r="D356" s="54"/>
    </row>
    <row r="357" spans="1:4" x14ac:dyDescent="0.25">
      <c r="A357" s="82"/>
      <c r="B357" s="54"/>
      <c r="C357" s="54"/>
      <c r="D357" s="54"/>
    </row>
    <row r="358" spans="1:4" x14ac:dyDescent="0.25">
      <c r="A358" s="82"/>
      <c r="B358" s="54"/>
      <c r="C358" s="54"/>
      <c r="D358" s="54"/>
    </row>
    <row r="359" spans="1:4" x14ac:dyDescent="0.25">
      <c r="A359" s="82"/>
      <c r="B359" s="54"/>
      <c r="C359" s="54"/>
      <c r="D359" s="54"/>
    </row>
    <row r="360" spans="1:4" x14ac:dyDescent="0.25">
      <c r="A360" s="82"/>
      <c r="B360" s="54"/>
      <c r="C360" s="54"/>
      <c r="D360" s="54"/>
    </row>
    <row r="361" spans="1:4" x14ac:dyDescent="0.25">
      <c r="A361" s="82"/>
      <c r="B361" s="54"/>
      <c r="C361" s="54"/>
      <c r="D361" s="54"/>
    </row>
    <row r="362" spans="1:4" x14ac:dyDescent="0.25">
      <c r="A362" s="82"/>
      <c r="B362" s="54"/>
      <c r="C362" s="54"/>
      <c r="D362" s="54"/>
    </row>
    <row r="363" spans="1:4" x14ac:dyDescent="0.25">
      <c r="A363" s="82"/>
      <c r="B363" s="54"/>
      <c r="C363" s="54"/>
      <c r="D363" s="54"/>
    </row>
    <row r="364" spans="1:4" x14ac:dyDescent="0.25">
      <c r="A364" s="82"/>
      <c r="B364" s="54"/>
      <c r="C364" s="54"/>
      <c r="D364" s="54"/>
    </row>
    <row r="365" spans="1:4" x14ac:dyDescent="0.25">
      <c r="A365" s="82"/>
      <c r="B365" s="54"/>
      <c r="C365" s="54"/>
      <c r="D365" s="54"/>
    </row>
    <row r="366" spans="1:4" x14ac:dyDescent="0.25">
      <c r="A366" s="82"/>
      <c r="B366" s="54"/>
      <c r="C366" s="54"/>
      <c r="D366" s="54"/>
    </row>
    <row r="367" spans="1:4" x14ac:dyDescent="0.25">
      <c r="A367" s="82"/>
      <c r="B367" s="54"/>
      <c r="C367" s="54"/>
      <c r="D367" s="54"/>
    </row>
    <row r="368" spans="1:4" x14ac:dyDescent="0.25">
      <c r="A368" s="82"/>
      <c r="B368" s="54"/>
      <c r="C368" s="54"/>
      <c r="D368" s="54"/>
    </row>
    <row r="369" spans="1:4" x14ac:dyDescent="0.25">
      <c r="A369" s="82"/>
      <c r="B369" s="54"/>
      <c r="C369" s="54"/>
      <c r="D369" s="54"/>
    </row>
    <row r="370" spans="1:4" x14ac:dyDescent="0.25">
      <c r="A370" s="82"/>
      <c r="B370" s="54"/>
      <c r="C370" s="54"/>
      <c r="D370" s="54"/>
    </row>
    <row r="371" spans="1:4" x14ac:dyDescent="0.25">
      <c r="A371" s="82"/>
      <c r="B371" s="54"/>
      <c r="C371" s="54"/>
      <c r="D371" s="54"/>
    </row>
    <row r="372" spans="1:4" x14ac:dyDescent="0.25">
      <c r="A372" s="82"/>
      <c r="B372" s="54"/>
      <c r="C372" s="54"/>
      <c r="D372" s="54"/>
    </row>
    <row r="373" spans="1:4" x14ac:dyDescent="0.25">
      <c r="A373" s="82"/>
      <c r="B373" s="54"/>
      <c r="C373" s="54"/>
      <c r="D373" s="54"/>
    </row>
    <row r="374" spans="1:4" x14ac:dyDescent="0.25">
      <c r="A374" s="82"/>
      <c r="B374" s="54"/>
      <c r="C374" s="54"/>
      <c r="D374" s="54"/>
    </row>
    <row r="375" spans="1:4" x14ac:dyDescent="0.25">
      <c r="A375" s="82"/>
      <c r="B375" s="54"/>
      <c r="C375" s="54"/>
      <c r="D375" s="54"/>
    </row>
    <row r="376" spans="1:4" x14ac:dyDescent="0.25">
      <c r="A376" s="82"/>
      <c r="B376" s="54"/>
      <c r="C376" s="54"/>
      <c r="D376" s="54"/>
    </row>
    <row r="377" spans="1:4" x14ac:dyDescent="0.25">
      <c r="A377" s="82"/>
      <c r="B377" s="54"/>
      <c r="C377" s="54"/>
      <c r="D377" s="54"/>
    </row>
    <row r="378" spans="1:4" x14ac:dyDescent="0.25">
      <c r="A378" s="82"/>
      <c r="B378" s="54"/>
      <c r="C378" s="54"/>
      <c r="D378" s="54"/>
    </row>
    <row r="379" spans="1:4" x14ac:dyDescent="0.25">
      <c r="A379" s="82"/>
      <c r="B379" s="54"/>
      <c r="C379" s="54"/>
      <c r="D379" s="54"/>
    </row>
    <row r="380" spans="1:4" x14ac:dyDescent="0.25">
      <c r="A380" s="82"/>
      <c r="B380" s="54"/>
      <c r="C380" s="54"/>
      <c r="D380" s="54"/>
    </row>
    <row r="381" spans="1:4" x14ac:dyDescent="0.25">
      <c r="A381" s="82"/>
      <c r="B381" s="54"/>
      <c r="C381" s="54"/>
      <c r="D381" s="54"/>
    </row>
    <row r="382" spans="1:4" x14ac:dyDescent="0.25">
      <c r="A382" s="82"/>
      <c r="B382" s="54"/>
      <c r="C382" s="54"/>
      <c r="D382" s="54"/>
    </row>
    <row r="383" spans="1:4" x14ac:dyDescent="0.25">
      <c r="A383" s="82"/>
      <c r="B383" s="54"/>
      <c r="C383" s="54"/>
      <c r="D383" s="54"/>
    </row>
    <row r="384" spans="1:4" x14ac:dyDescent="0.25">
      <c r="A384" s="82"/>
      <c r="B384" s="54"/>
      <c r="C384" s="54"/>
      <c r="D384" s="54"/>
    </row>
    <row r="385" spans="1:4" x14ac:dyDescent="0.25">
      <c r="A385" s="82"/>
      <c r="B385" s="54"/>
      <c r="C385" s="54"/>
      <c r="D385" s="54"/>
    </row>
    <row r="386" spans="1:4" x14ac:dyDescent="0.25">
      <c r="A386" s="82"/>
      <c r="B386" s="54"/>
      <c r="C386" s="54"/>
      <c r="D386" s="54"/>
    </row>
    <row r="387" spans="1:4" x14ac:dyDescent="0.25">
      <c r="A387" s="82"/>
      <c r="B387" s="54"/>
      <c r="C387" s="54"/>
      <c r="D387" s="54"/>
    </row>
    <row r="388" spans="1:4" x14ac:dyDescent="0.25">
      <c r="A388" s="82"/>
      <c r="B388" s="54"/>
      <c r="C388" s="54"/>
      <c r="D388" s="54"/>
    </row>
    <row r="389" spans="1:4" x14ac:dyDescent="0.25">
      <c r="A389" s="82"/>
      <c r="B389" s="54"/>
      <c r="C389" s="54"/>
      <c r="D389" s="54"/>
    </row>
    <row r="390" spans="1:4" x14ac:dyDescent="0.25">
      <c r="A390" s="82"/>
      <c r="B390" s="54"/>
      <c r="C390" s="54"/>
      <c r="D390" s="54"/>
    </row>
    <row r="391" spans="1:4" x14ac:dyDescent="0.25">
      <c r="A391" s="82"/>
      <c r="B391" s="54"/>
      <c r="C391" s="54"/>
      <c r="D391" s="54"/>
    </row>
    <row r="392" spans="1:4" x14ac:dyDescent="0.25">
      <c r="A392" s="82"/>
      <c r="B392" s="54"/>
      <c r="C392" s="54"/>
      <c r="D392" s="54"/>
    </row>
    <row r="393" spans="1:4" x14ac:dyDescent="0.25">
      <c r="A393" s="82"/>
      <c r="B393" s="54"/>
      <c r="C393" s="54"/>
      <c r="D393" s="54"/>
    </row>
    <row r="394" spans="1:4" x14ac:dyDescent="0.25">
      <c r="A394" s="82"/>
      <c r="B394" s="54"/>
      <c r="C394" s="54"/>
      <c r="D394" s="54"/>
    </row>
    <row r="395" spans="1:4" x14ac:dyDescent="0.25">
      <c r="A395" s="82"/>
      <c r="B395" s="54"/>
      <c r="C395" s="54"/>
      <c r="D395" s="54"/>
    </row>
    <row r="396" spans="1:4" x14ac:dyDescent="0.25">
      <c r="A396" s="82"/>
      <c r="B396" s="54"/>
      <c r="C396" s="54"/>
      <c r="D396" s="54"/>
    </row>
    <row r="397" spans="1:4" x14ac:dyDescent="0.25">
      <c r="A397" s="82"/>
      <c r="B397" s="54"/>
      <c r="C397" s="54"/>
      <c r="D397" s="54"/>
    </row>
    <row r="398" spans="1:4" x14ac:dyDescent="0.25">
      <c r="A398" s="82"/>
      <c r="B398" s="54"/>
      <c r="C398" s="54"/>
      <c r="D398" s="54"/>
    </row>
    <row r="399" spans="1:4" x14ac:dyDescent="0.25">
      <c r="A399" s="82"/>
      <c r="B399" s="54"/>
      <c r="C399" s="54"/>
      <c r="D399" s="54"/>
    </row>
    <row r="400" spans="1:4" x14ac:dyDescent="0.25">
      <c r="A400" s="82"/>
      <c r="B400" s="54"/>
      <c r="C400" s="54"/>
      <c r="D400" s="54"/>
    </row>
    <row r="401" spans="1:4" x14ac:dyDescent="0.25">
      <c r="A401" s="82"/>
      <c r="B401" s="54"/>
      <c r="C401" s="54"/>
      <c r="D401" s="54"/>
    </row>
    <row r="402" spans="1:4" x14ac:dyDescent="0.25">
      <c r="A402" s="82"/>
      <c r="B402" s="54"/>
      <c r="C402" s="54"/>
      <c r="D402" s="54"/>
    </row>
    <row r="403" spans="1:4" x14ac:dyDescent="0.25">
      <c r="A403" s="82"/>
      <c r="B403" s="54"/>
      <c r="C403" s="54"/>
      <c r="D403" s="54"/>
    </row>
    <row r="404" spans="1:4" x14ac:dyDescent="0.25">
      <c r="A404" s="82"/>
      <c r="B404" s="54"/>
      <c r="C404" s="54"/>
      <c r="D404" s="54"/>
    </row>
    <row r="405" spans="1:4" x14ac:dyDescent="0.25">
      <c r="A405" s="82"/>
      <c r="B405" s="54"/>
      <c r="C405" s="54"/>
      <c r="D405" s="54"/>
    </row>
    <row r="406" spans="1:4" x14ac:dyDescent="0.25">
      <c r="A406" s="82"/>
      <c r="B406" s="54"/>
      <c r="C406" s="54"/>
      <c r="D406" s="54"/>
    </row>
    <row r="407" spans="1:4" x14ac:dyDescent="0.25">
      <c r="A407" s="82"/>
      <c r="B407" s="54"/>
      <c r="C407" s="54"/>
      <c r="D407" s="54"/>
    </row>
    <row r="408" spans="1:4" x14ac:dyDescent="0.25">
      <c r="A408" s="82"/>
      <c r="B408" s="54"/>
      <c r="C408" s="54"/>
      <c r="D408" s="54"/>
    </row>
    <row r="409" spans="1:4" x14ac:dyDescent="0.25">
      <c r="A409" s="82"/>
      <c r="B409" s="54"/>
      <c r="C409" s="54"/>
      <c r="D409" s="54"/>
    </row>
    <row r="410" spans="1:4" x14ac:dyDescent="0.25">
      <c r="A410" s="82"/>
      <c r="B410" s="54"/>
      <c r="C410" s="54"/>
      <c r="D410" s="54"/>
    </row>
    <row r="411" spans="1:4" x14ac:dyDescent="0.25">
      <c r="A411" s="82"/>
      <c r="B411" s="54"/>
      <c r="C411" s="54"/>
      <c r="D411" s="54"/>
    </row>
    <row r="412" spans="1:4" x14ac:dyDescent="0.25">
      <c r="A412" s="82"/>
      <c r="B412" s="54"/>
      <c r="C412" s="54"/>
      <c r="D412" s="54"/>
    </row>
    <row r="413" spans="1:4" x14ac:dyDescent="0.25">
      <c r="A413" s="82"/>
      <c r="B413" s="54"/>
      <c r="C413" s="54"/>
      <c r="D413" s="54"/>
    </row>
    <row r="414" spans="1:4" x14ac:dyDescent="0.25">
      <c r="A414" s="82"/>
      <c r="B414" s="54"/>
      <c r="C414" s="54"/>
      <c r="D414" s="54"/>
    </row>
    <row r="415" spans="1:4" x14ac:dyDescent="0.25">
      <c r="A415" s="82"/>
      <c r="B415" s="54"/>
      <c r="C415" s="54"/>
      <c r="D415" s="54"/>
    </row>
    <row r="416" spans="1:4" x14ac:dyDescent="0.25">
      <c r="A416" s="82"/>
      <c r="B416" s="54"/>
      <c r="C416" s="54"/>
      <c r="D416" s="54"/>
    </row>
    <row r="417" spans="1:4" x14ac:dyDescent="0.25">
      <c r="A417" s="82"/>
      <c r="B417" s="54"/>
      <c r="C417" s="54"/>
      <c r="D417" s="54"/>
    </row>
    <row r="418" spans="1:4" x14ac:dyDescent="0.25">
      <c r="A418" s="82"/>
      <c r="B418" s="54"/>
      <c r="C418" s="54"/>
      <c r="D418" s="54"/>
    </row>
    <row r="419" spans="1:4" x14ac:dyDescent="0.25">
      <c r="A419" s="82"/>
      <c r="B419" s="54"/>
      <c r="C419" s="54"/>
      <c r="D419" s="54"/>
    </row>
    <row r="420" spans="1:4" x14ac:dyDescent="0.25">
      <c r="A420" s="82"/>
      <c r="B420" s="54"/>
      <c r="C420" s="54"/>
      <c r="D420" s="54"/>
    </row>
    <row r="421" spans="1:4" x14ac:dyDescent="0.25">
      <c r="A421" s="82"/>
      <c r="B421" s="54"/>
      <c r="C421" s="54"/>
      <c r="D421" s="54"/>
    </row>
    <row r="422" spans="1:4" x14ac:dyDescent="0.25">
      <c r="A422" s="82"/>
      <c r="B422" s="54"/>
      <c r="C422" s="54"/>
      <c r="D422" s="54"/>
    </row>
    <row r="423" spans="1:4" x14ac:dyDescent="0.25">
      <c r="A423" s="82"/>
      <c r="B423" s="54"/>
      <c r="C423" s="54"/>
      <c r="D423" s="54"/>
    </row>
    <row r="424" spans="1:4" x14ac:dyDescent="0.25">
      <c r="A424" s="82"/>
      <c r="B424" s="54"/>
      <c r="C424" s="54"/>
      <c r="D424" s="54"/>
    </row>
    <row r="425" spans="1:4" x14ac:dyDescent="0.25">
      <c r="A425" s="82"/>
      <c r="B425" s="54"/>
      <c r="C425" s="54"/>
      <c r="D425" s="54"/>
    </row>
    <row r="426" spans="1:4" x14ac:dyDescent="0.25">
      <c r="A426" s="82"/>
      <c r="B426" s="54"/>
      <c r="C426" s="54"/>
      <c r="D426" s="54"/>
    </row>
    <row r="427" spans="1:4" x14ac:dyDescent="0.25">
      <c r="A427" s="82"/>
      <c r="B427" s="54"/>
      <c r="C427" s="54"/>
      <c r="D427" s="54"/>
    </row>
    <row r="428" spans="1:4" x14ac:dyDescent="0.25">
      <c r="A428" s="82"/>
      <c r="B428" s="54"/>
      <c r="C428" s="54"/>
      <c r="D428" s="54"/>
    </row>
    <row r="429" spans="1:4" x14ac:dyDescent="0.25">
      <c r="A429" s="82"/>
      <c r="B429" s="54"/>
      <c r="C429" s="54"/>
      <c r="D429" s="54"/>
    </row>
    <row r="430" spans="1:4" x14ac:dyDescent="0.25">
      <c r="A430" s="82"/>
      <c r="B430" s="54"/>
      <c r="C430" s="54"/>
      <c r="D430" s="54"/>
    </row>
    <row r="431" spans="1:4" x14ac:dyDescent="0.25">
      <c r="A431" s="82"/>
      <c r="B431" s="54"/>
      <c r="C431" s="54"/>
      <c r="D431" s="54"/>
    </row>
    <row r="432" spans="1:4" x14ac:dyDescent="0.25">
      <c r="A432" s="82"/>
      <c r="B432" s="54"/>
      <c r="C432" s="54"/>
      <c r="D432" s="54"/>
    </row>
    <row r="433" spans="1:4" x14ac:dyDescent="0.25">
      <c r="A433" s="82"/>
      <c r="B433" s="54"/>
      <c r="C433" s="54"/>
      <c r="D433" s="54"/>
    </row>
    <row r="434" spans="1:4" x14ac:dyDescent="0.25">
      <c r="A434" s="82"/>
      <c r="B434" s="54"/>
      <c r="C434" s="54"/>
      <c r="D434" s="54"/>
    </row>
    <row r="435" spans="1:4" x14ac:dyDescent="0.25">
      <c r="A435" s="82"/>
      <c r="B435" s="54"/>
      <c r="C435" s="54"/>
      <c r="D435" s="54"/>
    </row>
    <row r="436" spans="1:4" x14ac:dyDescent="0.25">
      <c r="A436" s="82"/>
      <c r="B436" s="54"/>
      <c r="C436" s="54"/>
      <c r="D436" s="54"/>
    </row>
    <row r="437" spans="1:4" x14ac:dyDescent="0.25">
      <c r="A437" s="82"/>
      <c r="B437" s="54"/>
      <c r="C437" s="54"/>
      <c r="D437" s="54"/>
    </row>
    <row r="438" spans="1:4" x14ac:dyDescent="0.25">
      <c r="A438" s="82"/>
      <c r="B438" s="54"/>
      <c r="C438" s="54"/>
      <c r="D438" s="54"/>
    </row>
    <row r="439" spans="1:4" x14ac:dyDescent="0.25">
      <c r="A439" s="82"/>
      <c r="B439" s="54"/>
      <c r="C439" s="54"/>
      <c r="D439" s="54"/>
    </row>
    <row r="440" spans="1:4" x14ac:dyDescent="0.25">
      <c r="A440" s="82"/>
      <c r="B440" s="54"/>
      <c r="C440" s="54"/>
      <c r="D440" s="54"/>
    </row>
    <row r="441" spans="1:4" x14ac:dyDescent="0.25">
      <c r="A441" s="82"/>
      <c r="B441" s="54"/>
      <c r="C441" s="54"/>
      <c r="D441" s="54"/>
    </row>
    <row r="442" spans="1:4" x14ac:dyDescent="0.25">
      <c r="A442" s="82"/>
      <c r="B442" s="54"/>
      <c r="C442" s="54"/>
      <c r="D442" s="54"/>
    </row>
    <row r="443" spans="1:4" x14ac:dyDescent="0.25">
      <c r="A443" s="82"/>
      <c r="B443" s="54"/>
      <c r="C443" s="54"/>
      <c r="D443" s="54"/>
    </row>
    <row r="444" spans="1:4" x14ac:dyDescent="0.25">
      <c r="A444" s="82"/>
      <c r="B444" s="54"/>
      <c r="C444" s="54"/>
      <c r="D444" s="54"/>
    </row>
    <row r="445" spans="1:4" x14ac:dyDescent="0.25">
      <c r="A445" s="82"/>
      <c r="B445" s="54"/>
      <c r="C445" s="54"/>
      <c r="D445" s="54"/>
    </row>
    <row r="446" spans="1:4" x14ac:dyDescent="0.25">
      <c r="A446" s="82"/>
      <c r="B446" s="54"/>
      <c r="C446" s="54"/>
      <c r="D446" s="54"/>
    </row>
    <row r="447" spans="1:4" x14ac:dyDescent="0.25">
      <c r="A447" s="82"/>
      <c r="B447" s="54"/>
      <c r="C447" s="54"/>
      <c r="D447" s="54"/>
    </row>
    <row r="448" spans="1:4" x14ac:dyDescent="0.25">
      <c r="A448" s="82"/>
      <c r="B448" s="54"/>
      <c r="C448" s="54"/>
      <c r="D448" s="54"/>
    </row>
    <row r="449" spans="1:4" x14ac:dyDescent="0.25">
      <c r="A449" s="82"/>
      <c r="B449" s="54"/>
      <c r="C449" s="54"/>
      <c r="D449" s="54"/>
    </row>
    <row r="450" spans="1:4" x14ac:dyDescent="0.25">
      <c r="A450" s="82"/>
      <c r="B450" s="54"/>
      <c r="C450" s="54"/>
      <c r="D450" s="54"/>
    </row>
    <row r="451" spans="1:4" x14ac:dyDescent="0.25">
      <c r="A451" s="82"/>
      <c r="B451" s="54"/>
      <c r="C451" s="54"/>
      <c r="D451" s="54"/>
    </row>
    <row r="452" spans="1:4" x14ac:dyDescent="0.25">
      <c r="A452" s="82"/>
      <c r="B452" s="54"/>
      <c r="C452" s="54"/>
      <c r="D452" s="54"/>
    </row>
    <row r="453" spans="1:4" x14ac:dyDescent="0.25">
      <c r="A453" s="82"/>
      <c r="B453" s="54"/>
      <c r="C453" s="54"/>
      <c r="D453" s="54"/>
    </row>
    <row r="454" spans="1:4" x14ac:dyDescent="0.25">
      <c r="A454" s="82"/>
      <c r="B454" s="54"/>
      <c r="C454" s="54"/>
      <c r="D454" s="54"/>
    </row>
    <row r="455" spans="1:4" x14ac:dyDescent="0.25">
      <c r="A455" s="82"/>
      <c r="B455" s="54"/>
      <c r="C455" s="54"/>
      <c r="D455" s="54"/>
    </row>
    <row r="456" spans="1:4" x14ac:dyDescent="0.25">
      <c r="A456" s="82"/>
      <c r="B456" s="54"/>
      <c r="C456" s="54"/>
      <c r="D456" s="54"/>
    </row>
    <row r="457" spans="1:4" x14ac:dyDescent="0.25">
      <c r="A457" s="82"/>
      <c r="B457" s="54"/>
      <c r="C457" s="54"/>
      <c r="D457" s="54"/>
    </row>
    <row r="458" spans="1:4" x14ac:dyDescent="0.25">
      <c r="A458" s="82"/>
      <c r="B458" s="54"/>
      <c r="C458" s="54"/>
      <c r="D458" s="54"/>
    </row>
    <row r="459" spans="1:4" x14ac:dyDescent="0.25">
      <c r="A459" s="82"/>
      <c r="B459" s="54"/>
      <c r="C459" s="54"/>
      <c r="D459" s="54"/>
    </row>
    <row r="460" spans="1:4" x14ac:dyDescent="0.25">
      <c r="A460" s="82"/>
      <c r="B460" s="54"/>
      <c r="C460" s="54"/>
      <c r="D460" s="54"/>
    </row>
    <row r="461" spans="1:4" x14ac:dyDescent="0.25">
      <c r="A461" s="82"/>
      <c r="B461" s="54"/>
      <c r="C461" s="54"/>
      <c r="D461" s="54"/>
    </row>
    <row r="462" spans="1:4" x14ac:dyDescent="0.25">
      <c r="A462" s="82"/>
      <c r="B462" s="54"/>
      <c r="C462" s="54"/>
      <c r="D462" s="54"/>
    </row>
    <row r="463" spans="1:4" x14ac:dyDescent="0.25">
      <c r="A463" s="82"/>
      <c r="B463" s="54"/>
      <c r="C463" s="54"/>
      <c r="D463" s="54"/>
    </row>
    <row r="464" spans="1:4" x14ac:dyDescent="0.25">
      <c r="A464" s="82"/>
      <c r="B464" s="54"/>
      <c r="C464" s="54"/>
      <c r="D464" s="54"/>
    </row>
    <row r="465" spans="1:4" x14ac:dyDescent="0.25">
      <c r="A465" s="82"/>
      <c r="B465" s="54"/>
      <c r="C465" s="54"/>
      <c r="D465" s="54"/>
    </row>
    <row r="466" spans="1:4" x14ac:dyDescent="0.25">
      <c r="A466" s="82"/>
      <c r="B466" s="54"/>
      <c r="C466" s="54"/>
      <c r="D466" s="54"/>
    </row>
    <row r="467" spans="1:4" x14ac:dyDescent="0.25">
      <c r="A467" s="82"/>
      <c r="B467" s="54"/>
      <c r="C467" s="54"/>
      <c r="D467" s="54"/>
    </row>
    <row r="468" spans="1:4" x14ac:dyDescent="0.25">
      <c r="A468" s="82"/>
      <c r="B468" s="54"/>
      <c r="C468" s="54"/>
      <c r="D468" s="54"/>
    </row>
    <row r="469" spans="1:4" x14ac:dyDescent="0.25">
      <c r="A469" s="82"/>
      <c r="B469" s="54"/>
      <c r="C469" s="54"/>
      <c r="D469" s="54"/>
    </row>
    <row r="470" spans="1:4" x14ac:dyDescent="0.25">
      <c r="A470" s="82"/>
      <c r="B470" s="54"/>
      <c r="C470" s="54"/>
      <c r="D470" s="54"/>
    </row>
    <row r="471" spans="1:4" x14ac:dyDescent="0.25">
      <c r="A471" s="82"/>
      <c r="B471" s="54"/>
      <c r="C471" s="54"/>
      <c r="D471" s="54"/>
    </row>
    <row r="472" spans="1:4" x14ac:dyDescent="0.25">
      <c r="A472" s="82"/>
      <c r="B472" s="54"/>
      <c r="C472" s="54"/>
      <c r="D472" s="54"/>
    </row>
    <row r="473" spans="1:4" x14ac:dyDescent="0.25">
      <c r="A473" s="82"/>
      <c r="B473" s="54"/>
      <c r="C473" s="54"/>
      <c r="D473" s="54"/>
    </row>
    <row r="474" spans="1:4" x14ac:dyDescent="0.25">
      <c r="A474" s="82"/>
      <c r="B474" s="54"/>
      <c r="C474" s="54"/>
      <c r="D474" s="54"/>
    </row>
    <row r="475" spans="1:4" x14ac:dyDescent="0.25">
      <c r="A475" s="82"/>
      <c r="B475" s="54"/>
      <c r="C475" s="54"/>
      <c r="D475" s="54"/>
    </row>
    <row r="476" spans="1:4" x14ac:dyDescent="0.25">
      <c r="A476" s="82"/>
      <c r="B476" s="54"/>
      <c r="C476" s="54"/>
      <c r="D476" s="54"/>
    </row>
    <row r="477" spans="1:4" x14ac:dyDescent="0.25">
      <c r="A477" s="82"/>
      <c r="B477" s="54"/>
      <c r="C477" s="54"/>
      <c r="D477" s="54"/>
    </row>
    <row r="478" spans="1:4" x14ac:dyDescent="0.25">
      <c r="A478" s="82"/>
      <c r="B478" s="54"/>
      <c r="C478" s="54"/>
      <c r="D478" s="54"/>
    </row>
    <row r="479" spans="1:4" x14ac:dyDescent="0.25">
      <c r="A479" s="82"/>
      <c r="B479" s="54"/>
      <c r="C479" s="54"/>
      <c r="D479" s="54"/>
    </row>
    <row r="480" spans="1:4" x14ac:dyDescent="0.25">
      <c r="A480" s="82"/>
      <c r="B480" s="54"/>
      <c r="C480" s="54"/>
      <c r="D480" s="54"/>
    </row>
    <row r="481" spans="1:4" x14ac:dyDescent="0.25">
      <c r="A481" s="82"/>
      <c r="B481" s="54"/>
      <c r="C481" s="54"/>
      <c r="D481" s="54"/>
    </row>
    <row r="482" spans="1:4" x14ac:dyDescent="0.25">
      <c r="A482" s="82"/>
      <c r="B482" s="54"/>
      <c r="C482" s="54"/>
      <c r="D482" s="54"/>
    </row>
    <row r="483" spans="1:4" x14ac:dyDescent="0.25">
      <c r="A483" s="82"/>
      <c r="B483" s="54"/>
      <c r="C483" s="54"/>
      <c r="D483" s="54"/>
    </row>
    <row r="484" spans="1:4" x14ac:dyDescent="0.25">
      <c r="A484" s="82"/>
      <c r="B484" s="54"/>
      <c r="C484" s="54"/>
      <c r="D484" s="54"/>
    </row>
    <row r="485" spans="1:4" x14ac:dyDescent="0.25">
      <c r="A485" s="82"/>
      <c r="B485" s="54"/>
      <c r="C485" s="54"/>
      <c r="D485" s="54"/>
    </row>
    <row r="486" spans="1:4" x14ac:dyDescent="0.25">
      <c r="A486" s="82"/>
      <c r="B486" s="54"/>
      <c r="C486" s="54"/>
      <c r="D486" s="54"/>
    </row>
    <row r="487" spans="1:4" x14ac:dyDescent="0.25">
      <c r="A487" s="82"/>
      <c r="B487" s="54"/>
      <c r="C487" s="54"/>
      <c r="D487" s="54"/>
    </row>
    <row r="488" spans="1:4" x14ac:dyDescent="0.25">
      <c r="A488" s="82"/>
      <c r="B488" s="54"/>
      <c r="C488" s="54"/>
      <c r="D488" s="54"/>
    </row>
    <row r="489" spans="1:4" x14ac:dyDescent="0.25">
      <c r="A489" s="82"/>
      <c r="B489" s="54"/>
      <c r="C489" s="54"/>
      <c r="D489" s="54"/>
    </row>
    <row r="490" spans="1:4" x14ac:dyDescent="0.25">
      <c r="A490" s="82"/>
      <c r="B490" s="54"/>
      <c r="C490" s="54"/>
      <c r="D490" s="54"/>
    </row>
    <row r="491" spans="1:4" x14ac:dyDescent="0.25">
      <c r="A491" s="82"/>
      <c r="B491" s="54"/>
      <c r="C491" s="54"/>
      <c r="D491" s="54"/>
    </row>
    <row r="492" spans="1:4" x14ac:dyDescent="0.25">
      <c r="A492" s="82"/>
      <c r="B492" s="54"/>
      <c r="C492" s="54"/>
      <c r="D492" s="54"/>
    </row>
    <row r="493" spans="1:4" x14ac:dyDescent="0.25">
      <c r="A493" s="82"/>
      <c r="B493" s="54"/>
      <c r="C493" s="54"/>
      <c r="D493" s="54"/>
    </row>
    <row r="494" spans="1:4" x14ac:dyDescent="0.25">
      <c r="A494" s="82"/>
      <c r="B494" s="54"/>
      <c r="C494" s="54"/>
      <c r="D494" s="54"/>
    </row>
    <row r="495" spans="1:4" x14ac:dyDescent="0.25">
      <c r="A495" s="82"/>
      <c r="B495" s="54"/>
      <c r="C495" s="54"/>
      <c r="D495" s="54"/>
    </row>
    <row r="496" spans="1:4" x14ac:dyDescent="0.25">
      <c r="A496" s="82"/>
      <c r="B496" s="54"/>
      <c r="C496" s="54"/>
      <c r="D496" s="54"/>
    </row>
    <row r="497" spans="1:4" x14ac:dyDescent="0.25">
      <c r="A497" s="82"/>
      <c r="B497" s="54"/>
      <c r="C497" s="54"/>
      <c r="D497" s="54"/>
    </row>
    <row r="498" spans="1:4" x14ac:dyDescent="0.25">
      <c r="A498" s="82"/>
      <c r="B498" s="54"/>
      <c r="C498" s="54"/>
      <c r="D498" s="54"/>
    </row>
    <row r="499" spans="1:4" x14ac:dyDescent="0.25">
      <c r="A499" s="82"/>
      <c r="B499" s="54"/>
      <c r="C499" s="54"/>
      <c r="D499" s="54"/>
    </row>
    <row r="500" spans="1:4" x14ac:dyDescent="0.25">
      <c r="A500" s="82"/>
      <c r="B500" s="54"/>
      <c r="C500" s="54"/>
      <c r="D500" s="54"/>
    </row>
  </sheetData>
  <sheetProtection algorithmName="SHA-512" hashValue="rh/QQMBWkCo4T77j4aY4RMzFLOMSAQ/+o6za51AFJUrXQON2bQLo08HGbwzKxUNrV4UKAKS6f12p0wgaPUq2cg==" saltValue="sF9PKyfQfhogwkDFyIzAtA==" spinCount="100000" sheet="1" objects="1" scenarios="1" insertRows="0" deleteRows="0" sort="0"/>
  <pageMargins left="0.7" right="0.7" top="0.75" bottom="0.75" header="0.3" footer="0.3"/>
  <ignoredErrors>
    <ignoredError sqref="A4:A99" unlocked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32"/>
  <sheetViews>
    <sheetView workbookViewId="0">
      <selection activeCell="J32" sqref="J32"/>
    </sheetView>
  </sheetViews>
  <sheetFormatPr defaultRowHeight="15" x14ac:dyDescent="0.25"/>
  <cols>
    <col min="1" max="1" width="8.85546875" customWidth="1"/>
    <col min="2" max="2" width="23.42578125" bestFit="1" customWidth="1"/>
    <col min="3" max="3" width="22.28515625" bestFit="1" customWidth="1"/>
    <col min="4" max="4" width="15.140625" customWidth="1"/>
    <col min="5" max="5" width="15.5703125" bestFit="1" customWidth="1"/>
    <col min="6" max="6" width="52.85546875" bestFit="1" customWidth="1"/>
    <col min="7" max="7" width="15" bestFit="1" customWidth="1"/>
    <col min="8" max="8" width="27.5703125" bestFit="1" customWidth="1"/>
    <col min="9" max="9" width="22.42578125" customWidth="1"/>
    <col min="10" max="10" width="18.85546875" bestFit="1" customWidth="1"/>
    <col min="11" max="11" width="50.140625" customWidth="1"/>
    <col min="12" max="17" width="17.7109375" style="17" customWidth="1"/>
    <col min="18" max="18" width="37.28515625" bestFit="1" customWidth="1"/>
    <col min="19" max="19" width="15.140625" style="3" bestFit="1" customWidth="1"/>
    <col min="20" max="20" width="16.140625" style="3" customWidth="1"/>
    <col min="21" max="21" width="21" bestFit="1" customWidth="1"/>
    <col min="22" max="22" width="40.7109375" customWidth="1"/>
    <col min="23" max="23" width="22.140625" bestFit="1" customWidth="1"/>
    <col min="24" max="24" width="35.140625" customWidth="1"/>
    <col min="25" max="25" width="17.42578125" customWidth="1"/>
    <col min="26" max="26" width="22.85546875" customWidth="1"/>
    <col min="27" max="28" width="14.28515625" style="17" bestFit="1" customWidth="1"/>
    <col min="29" max="29" width="15.7109375" style="19" customWidth="1"/>
    <col min="30" max="30" width="14.85546875" bestFit="1" customWidth="1"/>
    <col min="31" max="31" width="13.42578125" bestFit="1" customWidth="1"/>
    <col min="32" max="32" width="12.85546875" style="20" customWidth="1"/>
    <col min="33" max="34" width="15.7109375" style="17" customWidth="1"/>
    <col min="35" max="35" width="15.140625" bestFit="1" customWidth="1"/>
    <col min="36" max="36" width="17.7109375" style="19" bestFit="1" customWidth="1"/>
    <col min="37" max="38" width="17.7109375" style="19" customWidth="1"/>
    <col min="39" max="39" width="20.7109375" style="19" customWidth="1"/>
    <col min="40" max="40" width="26.7109375" style="19" customWidth="1"/>
    <col min="41" max="41" width="25.5703125" customWidth="1"/>
    <col min="42" max="42" width="15.42578125" style="3" customWidth="1"/>
    <col min="43" max="43" width="18" customWidth="1"/>
    <col min="44" max="44" width="34.140625" bestFit="1" customWidth="1"/>
    <col min="45" max="45" width="37.42578125" bestFit="1" customWidth="1"/>
    <col min="46" max="46" width="35.28515625" bestFit="1" customWidth="1"/>
    <col min="47" max="47" width="37.140625" customWidth="1"/>
    <col min="48" max="48" width="28.85546875" bestFit="1" customWidth="1"/>
    <col min="49" max="49" width="31" bestFit="1" customWidth="1"/>
  </cols>
  <sheetData>
    <row r="1" spans="1:49" x14ac:dyDescent="0.25">
      <c r="A1" s="89" t="s">
        <v>566</v>
      </c>
      <c r="B1" s="90"/>
      <c r="C1" s="90"/>
      <c r="D1" s="90"/>
      <c r="E1" s="90"/>
      <c r="F1" s="89" t="s">
        <v>566</v>
      </c>
      <c r="G1" s="90"/>
      <c r="H1" s="90"/>
      <c r="I1" s="90"/>
      <c r="J1" s="89" t="s">
        <v>566</v>
      </c>
      <c r="K1" s="90"/>
      <c r="L1" s="91"/>
      <c r="M1" s="91"/>
      <c r="N1" s="91"/>
      <c r="O1" s="89" t="s">
        <v>566</v>
      </c>
      <c r="P1" s="91"/>
      <c r="Q1" s="91"/>
      <c r="R1" s="90"/>
      <c r="S1" s="92"/>
      <c r="T1" s="89" t="s">
        <v>566</v>
      </c>
      <c r="U1" s="89"/>
      <c r="V1" s="90"/>
      <c r="W1" s="90"/>
      <c r="X1" s="90"/>
      <c r="Y1" s="89" t="s">
        <v>566</v>
      </c>
      <c r="Z1" s="90"/>
      <c r="AA1" s="91"/>
      <c r="AB1" s="91"/>
      <c r="AC1" s="93"/>
      <c r="AD1" s="90"/>
      <c r="AE1" s="90"/>
      <c r="AF1" s="89" t="s">
        <v>566</v>
      </c>
      <c r="AG1" s="91"/>
      <c r="AH1" s="91"/>
      <c r="AI1" s="90"/>
      <c r="AJ1" s="93"/>
      <c r="AK1" s="93"/>
      <c r="AL1" s="89" t="s">
        <v>566</v>
      </c>
      <c r="AM1" s="93"/>
      <c r="AN1" s="93"/>
      <c r="AO1" s="90"/>
      <c r="AP1" s="92"/>
      <c r="AQ1" s="89" t="s">
        <v>566</v>
      </c>
      <c r="AR1" s="90"/>
      <c r="AS1" s="90"/>
      <c r="AT1" s="90"/>
      <c r="AU1" s="89" t="s">
        <v>566</v>
      </c>
      <c r="AV1" s="90"/>
      <c r="AW1" s="90"/>
    </row>
    <row r="2" spans="1:49" x14ac:dyDescent="0.25">
      <c r="A2" s="99" t="s">
        <v>321</v>
      </c>
      <c r="B2" s="100"/>
      <c r="C2" s="100"/>
      <c r="D2" s="100"/>
      <c r="E2" s="100"/>
      <c r="F2" s="100"/>
      <c r="G2" s="100"/>
      <c r="H2" s="100"/>
      <c r="I2" s="100"/>
      <c r="J2" s="100"/>
      <c r="K2" s="100"/>
      <c r="L2" s="101"/>
      <c r="M2" s="101"/>
      <c r="N2" s="101"/>
      <c r="O2" s="101"/>
      <c r="P2" s="101"/>
      <c r="Q2" s="102"/>
      <c r="R2" s="103"/>
      <c r="S2" s="104"/>
      <c r="T2" s="95" t="s">
        <v>320</v>
      </c>
      <c r="U2" s="96"/>
      <c r="V2" s="97"/>
      <c r="W2" s="97"/>
      <c r="X2" s="98"/>
      <c r="Y2" s="110" t="s">
        <v>319</v>
      </c>
      <c r="Z2" s="111"/>
      <c r="AA2" s="112"/>
      <c r="AB2" s="112"/>
      <c r="AC2" s="113"/>
      <c r="AD2" s="114" t="s">
        <v>319</v>
      </c>
      <c r="AE2" s="111"/>
      <c r="AF2" s="115"/>
      <c r="AG2" s="112"/>
      <c r="AH2" s="112"/>
      <c r="AI2" s="114" t="s">
        <v>319</v>
      </c>
      <c r="AJ2" s="113"/>
      <c r="AK2" s="113"/>
      <c r="AL2" s="113"/>
      <c r="AM2" s="114" t="s">
        <v>319</v>
      </c>
      <c r="AN2" s="113"/>
      <c r="AO2" s="116" t="s">
        <v>319</v>
      </c>
      <c r="AP2" s="116"/>
      <c r="AQ2" s="111"/>
      <c r="AR2" s="117" t="str">
        <f>"Blank: " &amp; COUNTIF(LessorBaseEx[S-T Lease Receivable
G/L Account],"")</f>
        <v>Blank: 25</v>
      </c>
      <c r="AS2" s="117" t="str">
        <f>"Blank: " &amp; COUNTIF(LessorBaseEx[L-T Lease Receivable
G/L Account],"")</f>
        <v>Blank: 25</v>
      </c>
      <c r="AT2" s="117" t="str">
        <f>"Blank: " &amp; COUNTIF(LessorBaseEx[S-T Deferred Inflow of Resources
G/L Account],"")</f>
        <v>Blank: 25</v>
      </c>
      <c r="AU2" s="117" t="str">
        <f>"Blank: " &amp; COUNTIF(LessorBaseEx[L-T Deferred Inflow of Resources
G/L Account],"")</f>
        <v>Blank: 25</v>
      </c>
      <c r="AV2" s="117" t="str">
        <f>"Blank: " &amp; COUNTIF(LessorBaseEx[Lease Operating Income
G/L Account],"")</f>
        <v>Blank: 25</v>
      </c>
      <c r="AW2" s="117" t="str">
        <f>"Blank: " &amp; COUNTIF(LessorBaseEx[Lease Interest Income
G/L Account2],"")</f>
        <v>Blank: 25</v>
      </c>
    </row>
    <row r="3" spans="1:49" x14ac:dyDescent="0.25">
      <c r="C3" s="31" t="str">
        <f>"Error: " &amp; COUNTIF(LessorBaseEx[AgreementCode],"")</f>
        <v>Error: 7</v>
      </c>
      <c r="D3" s="31" t="str">
        <f>"Error: " &amp; COUNTIF(LessorBaseEx[Multi-
Record],"")</f>
        <v>Error: 7</v>
      </c>
      <c r="E3" s="26" t="str">
        <f>"Error: " &amp; COUNTIFS(LessorBaseEx[AgrmtCode
Uniq Test],"&gt;1",LessorBaseEx[Multi-
Record],"None")</f>
        <v>Error: 0</v>
      </c>
      <c r="F3" s="31" t="str">
        <f>"Error: " &amp; COUNTIF(LessorBaseEx[AgreementTitle],"")</f>
        <v>Error: 7</v>
      </c>
      <c r="G3" s="26" t="str">
        <f>"Error: " &amp; COUNTIFS(LessorBaseEx[AgrmtTitle
Uniq Test],"&gt;1",LessorBaseEx[Multi-
Record],"None")</f>
        <v>Error: 0</v>
      </c>
      <c r="H3" s="3" t="s">
        <v>256</v>
      </c>
      <c r="I3" s="31" t="str">
        <f>"Error: " &amp; COUNTIF(LessorBaseEx[AgreementType],"")</f>
        <v>Error: 8</v>
      </c>
      <c r="J3" s="31" t="str">
        <f>"Error: " &amp; COUNTIF(LessorBaseEx[AgreementStatus],"")</f>
        <v>Error: 8</v>
      </c>
      <c r="K3" s="26" t="str">
        <f>"Error: " &amp; COUNTIF(LessorBaseEx[AgreementDescription],"")</f>
        <v>Error: 8</v>
      </c>
      <c r="L3" s="26" t="str">
        <f>"Error: " &amp; COUNTIF(LessorBaseEx[Initial Period
Start Date],"")</f>
        <v>Error: 8</v>
      </c>
      <c r="M3" s="26" t="str">
        <f>"Error: " &amp; COUNTIF(LessorBaseEx[Initial Period
End Date],"")</f>
        <v>Error: 8</v>
      </c>
      <c r="N3" s="16" t="s">
        <v>256</v>
      </c>
      <c r="O3" s="16" t="s">
        <v>256</v>
      </c>
      <c r="P3" s="16" t="s">
        <v>256</v>
      </c>
      <c r="Q3" s="16" t="s">
        <v>256</v>
      </c>
      <c r="R3" t="s">
        <v>256</v>
      </c>
      <c r="S3" s="26" t="str">
        <f>"Error: " &amp; COUNTIF(LessorBaseEx[Comments
Length], "&gt; 300")</f>
        <v>Error: 0</v>
      </c>
      <c r="T3" s="31" t="str">
        <f>"Error: " &amp; COUNTIF(LessorBaseEx[Multi-
Record2],"")</f>
        <v>Error: 7</v>
      </c>
      <c r="U3" s="31" t="str">
        <f>"Error: " &amp; COUNTIF(LessorBaseEx[ProvisionReference],"")</f>
        <v>Error: 7</v>
      </c>
      <c r="V3" s="31" t="str">
        <f>"Error: " &amp; COUNTIF(LessorBaseEx[ProvisionDescription],"")</f>
        <v>Error: 7</v>
      </c>
      <c r="W3" s="31" t="str">
        <f>"Error: " &amp; COUNTIF(LessorBaseEx[ProvisionType],"")+COUNTIF(LessorBaseEx[ProvisionType],0)</f>
        <v>Error: 8</v>
      </c>
      <c r="X3" s="3" t="s">
        <v>256</v>
      </c>
      <c r="Y3" s="26" t="str">
        <f>"Error: " &amp; COUNTIF(LessorBaseEx[ReportingType],"")</f>
        <v>Error: 0</v>
      </c>
      <c r="Z3" s="26" t="str">
        <f>"Error: " &amp; COUNTIF(LessorBaseEx[ReportingCategory],"")+COUNTIF(LessorBaseEx[ReportingCategory],0)</f>
        <v>Error: 8</v>
      </c>
      <c r="AA3" s="26" t="str">
        <f>"Error: " &amp; COUNTIF(LessorBaseEx[Reporting
StartDate],"")</f>
        <v>Error: 10</v>
      </c>
      <c r="AB3" s="26" t="str">
        <f>"Error: " &amp; COUNTIF(LessorBaseEx[Reporting
EndDate],"") + COUNTIF(LessorBaseEx[Reporting
EndDate],0)</f>
        <v>Error: 8</v>
      </c>
      <c r="AC3" s="26" t="str">
        <f>"Error: " &amp; COUNTIF(LessorBaseEx[Payment
Amount],"")+COUNTIF(LessorBaseEx[Payment
Amount],0)</f>
        <v>Error: 10</v>
      </c>
      <c r="AD3" s="26" t="str">
        <f>"Error: " &amp; COUNTIF(LessorBaseEx[Payment
Frequency],"")</f>
        <v>Error: 10</v>
      </c>
      <c r="AE3" s="26" t="str">
        <f>"Error: " &amp; COUNTIF(LessorBaseEx[Payment
Timing],"")</f>
        <v>Error: 10</v>
      </c>
      <c r="AF3" s="26" t="str">
        <f>"Error: " &amp; COUNTIF(LessorBaseEx[Annual
Rate],"")+COUNTIF(LessorBaseEx[Annual
Rate],0)</f>
        <v>Error: 9</v>
      </c>
      <c r="AG3" s="26" t="str">
        <f>"Error: " &amp; COUNTIF(LessorBaseEx[Payment
StartDate],"")</f>
        <v>Error: 10</v>
      </c>
      <c r="AH3" s="26" t="str">
        <f>"Error: " &amp; COUNTIF(LessorBaseEx[Payment
EndDate],"") + COUNTIF(LessorBaseEx[Payment
EndDate],0)</f>
        <v>Error: 10</v>
      </c>
      <c r="AI3" s="3" t="s">
        <v>322</v>
      </c>
      <c r="AJ3" s="3" t="s">
        <v>322</v>
      </c>
      <c r="AK3" s="3" t="s">
        <v>322</v>
      </c>
      <c r="AL3" s="3" t="s">
        <v>322</v>
      </c>
      <c r="AM3" s="26" t="str">
        <f>"Error: " &amp; COUNTIF(LessorBase[Total
Deferred Inflow],"")+COUNTIF(LessorBase[Total
Deferred Inflow],0)</f>
        <v>Error: 0</v>
      </c>
      <c r="AN3" s="26" t="str">
        <f>"Error: " &amp; COUNTIF(LessorBase[Deferred Inflow
AmortizationMethod],"")</f>
        <v>Error: 0</v>
      </c>
      <c r="AO3" s="3" t="s">
        <v>256</v>
      </c>
      <c r="AP3" s="3" t="s">
        <v>256</v>
      </c>
      <c r="AQ3" s="3" t="s">
        <v>256</v>
      </c>
      <c r="AR3" s="118" t="s">
        <v>373</v>
      </c>
      <c r="AS3" s="119"/>
      <c r="AT3" s="119"/>
      <c r="AU3" s="119"/>
      <c r="AV3" s="119"/>
      <c r="AW3" s="30"/>
    </row>
    <row r="4" spans="1:49" x14ac:dyDescent="0.25">
      <c r="C4" s="88" t="s">
        <v>564</v>
      </c>
      <c r="F4" s="94" t="s">
        <v>564</v>
      </c>
      <c r="R4" s="94" t="s">
        <v>567</v>
      </c>
      <c r="V4" s="94" t="s">
        <v>569</v>
      </c>
      <c r="AM4"/>
      <c r="AN4"/>
    </row>
    <row r="5" spans="1:49" ht="30" x14ac:dyDescent="0.25">
      <c r="A5" t="s">
        <v>449</v>
      </c>
      <c r="B5" t="s">
        <v>450</v>
      </c>
      <c r="C5" s="14" t="s">
        <v>565</v>
      </c>
      <c r="D5" s="14" t="s">
        <v>491</v>
      </c>
      <c r="E5" s="14" t="s">
        <v>300</v>
      </c>
      <c r="F5" t="s">
        <v>0</v>
      </c>
      <c r="G5" s="14" t="s">
        <v>296</v>
      </c>
      <c r="H5" t="s">
        <v>299</v>
      </c>
      <c r="I5" t="s">
        <v>297</v>
      </c>
      <c r="J5" t="s">
        <v>298</v>
      </c>
      <c r="K5" t="s">
        <v>1</v>
      </c>
      <c r="L5" s="18" t="s">
        <v>367</v>
      </c>
      <c r="M5" s="18" t="s">
        <v>368</v>
      </c>
      <c r="N5" s="18" t="s">
        <v>369</v>
      </c>
      <c r="O5" s="18" t="s">
        <v>370</v>
      </c>
      <c r="P5" s="18" t="s">
        <v>371</v>
      </c>
      <c r="Q5" s="18" t="s">
        <v>372</v>
      </c>
      <c r="R5" t="s">
        <v>2</v>
      </c>
      <c r="S5" s="14" t="s">
        <v>307</v>
      </c>
      <c r="T5" s="14" t="s">
        <v>568</v>
      </c>
      <c r="U5" s="12" t="s">
        <v>302</v>
      </c>
      <c r="V5" t="s">
        <v>493</v>
      </c>
      <c r="W5" t="s">
        <v>301</v>
      </c>
      <c r="X5" t="s">
        <v>5</v>
      </c>
      <c r="Y5" s="12" t="s">
        <v>6</v>
      </c>
      <c r="Z5" s="12" t="s">
        <v>7</v>
      </c>
      <c r="AA5" s="18" t="s">
        <v>304</v>
      </c>
      <c r="AB5" s="18" t="s">
        <v>305</v>
      </c>
      <c r="AC5" s="22" t="s">
        <v>315</v>
      </c>
      <c r="AD5" s="14" t="s">
        <v>314</v>
      </c>
      <c r="AE5" s="14" t="s">
        <v>313</v>
      </c>
      <c r="AF5" s="21" t="s">
        <v>306</v>
      </c>
      <c r="AG5" s="18" t="s">
        <v>521</v>
      </c>
      <c r="AH5" s="18" t="s">
        <v>522</v>
      </c>
      <c r="AI5" s="120" t="s">
        <v>309</v>
      </c>
      <c r="AJ5" s="24" t="s">
        <v>310</v>
      </c>
      <c r="AK5" s="24" t="s">
        <v>312</v>
      </c>
      <c r="AL5" s="24" t="s">
        <v>311</v>
      </c>
      <c r="AM5" s="22" t="s">
        <v>453</v>
      </c>
      <c r="AN5" s="14" t="s">
        <v>454</v>
      </c>
      <c r="AO5" s="14" t="s">
        <v>323</v>
      </c>
      <c r="AP5" s="14" t="s">
        <v>324</v>
      </c>
      <c r="AQ5" s="14" t="s">
        <v>325</v>
      </c>
      <c r="AR5" s="27" t="s">
        <v>457</v>
      </c>
      <c r="AS5" s="27" t="s">
        <v>458</v>
      </c>
      <c r="AT5" s="27" t="s">
        <v>459</v>
      </c>
      <c r="AU5" s="27" t="s">
        <v>460</v>
      </c>
      <c r="AV5" s="27" t="s">
        <v>461</v>
      </c>
      <c r="AW5" s="27" t="s">
        <v>651</v>
      </c>
    </row>
    <row r="6" spans="1:49" x14ac:dyDescent="0.25">
      <c r="A6" s="121" t="s">
        <v>612</v>
      </c>
      <c r="B6" s="122"/>
      <c r="C6" s="122"/>
      <c r="D6" s="122"/>
      <c r="E6" s="122"/>
      <c r="F6" s="122"/>
      <c r="G6" s="122"/>
      <c r="H6" s="122"/>
      <c r="I6" s="122"/>
      <c r="J6" s="122"/>
      <c r="K6" s="122"/>
      <c r="L6" s="123"/>
      <c r="M6" s="123"/>
      <c r="N6" s="123"/>
      <c r="O6" s="123"/>
      <c r="P6" s="123"/>
      <c r="Q6" s="123"/>
      <c r="R6" s="122"/>
      <c r="S6" s="124"/>
      <c r="T6" s="124"/>
      <c r="U6" s="122"/>
      <c r="V6" s="122"/>
      <c r="W6" s="122"/>
      <c r="X6" s="122"/>
      <c r="Y6" t="str">
        <f>IF(LessorBaseEx[[#This Row],[Incl. Options
End Date]] = 0, IF(ROUND(ROUND((LessorBaseEx[[#This Row],[Initial Period
End Date]]-LessorBaseEx[[#This Row],[Initial Period
Start Date]])/365,2)*12,0)&lt;=12,"None","Transactional"), IF(ROUND(ROUND((LessorBaseEx[[#This Row],[Incl. Options
End Date]]-LessorBaseEx[[#This Row],[Initial Period
Start Date]])/365,2)*12,0)&lt;=12,"None","Transactional"))</f>
        <v>None</v>
      </c>
      <c r="Z6">
        <f>LessorBaseEx[[#This Row],[ProvisionType]]</f>
        <v>0</v>
      </c>
      <c r="AB6" s="17">
        <f>IF(LessorBaseEx[[#This Row],[Incl. Options
End Date]]&gt;0,LessorBaseEx[[#This Row],[Incl. Options
End Date]],LessorBaseEx[[#This Row],[Initial Period
End Date]])</f>
        <v>0</v>
      </c>
      <c r="AF6" s="20">
        <v>0.04</v>
      </c>
      <c r="AH6" s="17">
        <f>IF(LessorBaseEx[[#This Row],[Incl. Options
End Date]]&gt;0,LessorBaseEx[[#This Row],[Incl. Options
End Date]],LessorBaseEx[[#This Row],[Initial Period
End Date]])</f>
        <v>0</v>
      </c>
      <c r="AI6" t="e" cm="1">
        <f t="array" ref="AI6">ROUND(ROUND((LessorBaseEx[[#This Row],[Payment
EndDate]]-LessorBaseEx[[#This Row],[Payment
StartDate]])/365,2)*_xlfn.IFS(LessorBaseEx[[#This Row],[Payment
Frequency]]="MO",12,LessorBaseEx[[#This Row],[Payment
Frequency]]="QT",4,LessorBaseEx[[#This Row],[Payment
Frequency]]="SA",2,LessorBaseEx[[#This Row],[Payment
Frequency]]="AN",1),0)</f>
        <v>#N/A</v>
      </c>
      <c r="AJ6" s="19" t="e">
        <f>ROUND(LessorBaseEx[[#This Row],[Payment
Amount]]*LessorBaseEx[[#This Row],[Number of
 Payments]],2)</f>
        <v>#N/A</v>
      </c>
      <c r="AK6" s="19" t="e">
        <f>IF(LessorBaseEx[[#This Row],[Multi-
Record2]]="Multi-Amount", "calc on import", ROUND(PV(LessorBaseEx[[#This Row],[Annual
Rate]]/IF(LessorBaseEx[[#This Row],[Payment
Frequency]] = "MO",12,IF(LessorBaseEx[[#This Row],[Payment
Frequency]] = "QT",4,IF(LessorBaseEx[[#This Row],[Payment
Frequency]] = "SA",2,IF(LessorBaseEx[[#This Row],[Payment
Frequency]] = "AN",1,0)))),LessorBaseEx[[#This Row],[Number of
 Payments]],LessorBaseEx[[#This Row],[Payment
Amount]],,IF(LessorBaseEx[[#This Row],[Payment
Timing]]="Advance",1,IF(LessorBaseEx[[#This Row],[Payment
Timing]]="Arrears",0,"x")))*-1,2))</f>
        <v>#DIV/0!</v>
      </c>
      <c r="AL6" s="19" t="e">
        <f>IF(LessorBaseEx[[#This Row],[Multi-
Record2]]="Multi-Amount", "calc on import",LessorBaseEx[[#This Row],[Total Amount
of Payments]]-LessorBaseEx[[#This Row],[Present
Value]])</f>
        <v>#N/A</v>
      </c>
      <c r="AM6" s="19" t="e">
        <f>IF(LessorBaseEx[[#This Row],[Multi-
Record2]]="Multi-Amount", "calc on import", LessorBaseEx[[#This Row],[Present
Value]])</f>
        <v>#DIV/0!</v>
      </c>
      <c r="AN6" t="s">
        <v>295</v>
      </c>
    </row>
    <row r="7" spans="1:49" x14ac:dyDescent="0.25">
      <c r="A7" t="s">
        <v>452</v>
      </c>
      <c r="B7">
        <f>'Agency Cover'!$B$3</f>
        <v>0</v>
      </c>
      <c r="C7" t="s">
        <v>613</v>
      </c>
      <c r="D7" t="s">
        <v>290</v>
      </c>
      <c r="E7">
        <f>COUNTIF(LessorBaseEx[AgreementCode],LessorBaseEx[[#This Row],[AgreementCode]])</f>
        <v>1</v>
      </c>
      <c r="F7" t="s">
        <v>614</v>
      </c>
      <c r="G7">
        <f>COUNTIF(LessorBaseEx[AgreementTitle],LessorBaseEx[[#This Row],[AgreementTitle]])</f>
        <v>1</v>
      </c>
      <c r="I7" t="s">
        <v>274</v>
      </c>
      <c r="J7" t="s">
        <v>3</v>
      </c>
      <c r="K7" t="s">
        <v>615</v>
      </c>
      <c r="L7" s="17">
        <v>43647</v>
      </c>
      <c r="M7" s="17">
        <v>45473</v>
      </c>
      <c r="P7" s="17">
        <v>45474</v>
      </c>
      <c r="Q7" s="17">
        <v>46568</v>
      </c>
      <c r="S7" s="3">
        <f>LEN(LessorBaseEx[[#This Row],[Comments]])</f>
        <v>0</v>
      </c>
      <c r="T7" s="3" t="str">
        <f>LessorBaseEx[[#This Row],[Multi-
Record]]</f>
        <v>None</v>
      </c>
      <c r="U7" t="str">
        <f>LessorBaseEx[[#This Row],[AgreementCode]]</f>
        <v>000-2019-001</v>
      </c>
      <c r="V7" t="str">
        <f>LEFT(LessorBaseEx[[#This Row],[AgreementTitle]],50)</f>
        <v>000-2019 Police Car Agreement #000001</v>
      </c>
      <c r="W7" t="str">
        <f>LessorBaseEx[[#This Row],[AgreementType]]</f>
        <v>Vehicles</v>
      </c>
      <c r="Y7" t="str">
        <f>IF(LessorBaseEx[[#This Row],[Incl. Options
End Date]] = 0, IF(ROUND(ROUND((LessorBaseEx[[#This Row],[Initial Period
End Date]]-LessorBaseEx[[#This Row],[Initial Period
Start Date]])/365,2)*12,0)&lt;=12,"None","Transactional"), IF(ROUND(ROUND((LessorBaseEx[[#This Row],[Incl. Options
End Date]]-LessorBaseEx[[#This Row],[Initial Period
Start Date]])/365,2)*12,0)&lt;=12,"None","Transactional"))</f>
        <v>Transactional</v>
      </c>
      <c r="Z7" t="str">
        <f>LessorBaseEx[[#This Row],[ProvisionType]]</f>
        <v>Vehicles</v>
      </c>
      <c r="AA7" s="17">
        <v>44013</v>
      </c>
      <c r="AB7" s="17">
        <f>IF(LessorBaseEx[[#This Row],[Incl. Options
End Date]]&gt;0,LessorBaseEx[[#This Row],[Incl. Options
End Date]],LessorBaseEx[[#This Row],[Initial Period
End Date]])</f>
        <v>45473</v>
      </c>
      <c r="AC7" s="19">
        <v>52000</v>
      </c>
      <c r="AD7" t="s">
        <v>318</v>
      </c>
      <c r="AE7" t="s">
        <v>316</v>
      </c>
      <c r="AF7" s="20">
        <v>0.04</v>
      </c>
      <c r="AG7" s="17">
        <v>43647</v>
      </c>
      <c r="AH7" s="17">
        <f>IF(LessorBaseEx[[#This Row],[Incl. Options
End Date]]&gt;0,LessorBaseEx[[#This Row],[Incl. Options
End Date]],LessorBaseEx[[#This Row],[Initial Period
End Date]])</f>
        <v>45473</v>
      </c>
      <c r="AI7" cm="1">
        <f t="array" ref="AI7">ROUND(ROUND((LessorBaseEx[[#This Row],[Payment
EndDate]]-LessorBaseEx[[#This Row],[Payment
StartDate]])/365,2)*_xlfn.IFS(LessorBaseEx[[#This Row],[Payment
Frequency]]="MO",12,LessorBaseEx[[#This Row],[Payment
Frequency]]="QT",4,LessorBaseEx[[#This Row],[Payment
Frequency]]="SA",2,LessorBaseEx[[#This Row],[Payment
Frequency]]="AN",1),0)</f>
        <v>5</v>
      </c>
      <c r="AJ7" s="19">
        <f>ROUND(LessorBaseEx[[#This Row],[Payment
Amount]]*LessorBaseEx[[#This Row],[Number of
 Payments]],2)</f>
        <v>260000</v>
      </c>
      <c r="AK7" s="19">
        <f>IF(LessorBaseEx[[#This Row],[Multi-
Record2]]="Multi-Amount", "calc on import", ROUND(PV(LessorBaseEx[[#This Row],[Annual
Rate]]/IF(LessorBaseEx[[#This Row],[Payment
Frequency]] = "MO",12,IF(LessorBaseEx[[#This Row],[Payment
Frequency]] = "QT",4,IF(LessorBaseEx[[#This Row],[Payment
Frequency]] = "SA",2,IF(LessorBaseEx[[#This Row],[Payment
Frequency]] = "AN",1,0)))),LessorBaseEx[[#This Row],[Number of
 Payments]],LessorBaseEx[[#This Row],[Payment
Amount]],,IF(LessorBaseEx[[#This Row],[Payment
Timing]]="Advance",1,IF(LessorBaseEx[[#This Row],[Payment
Timing]]="Arrears",0,"x")))*-1,2))</f>
        <v>240754.55</v>
      </c>
      <c r="AL7" s="19">
        <f>IF(LessorBaseEx[[#This Row],[Multi-
Record2]]="Multi-Amount", "calc on import",LessorBaseEx[[#This Row],[Total Amount
of Payments]]-LessorBaseEx[[#This Row],[Present
Value]])</f>
        <v>19245.450000000012</v>
      </c>
      <c r="AM7" s="19">
        <f>IF(LessorBaseEx[[#This Row],[Multi-
Record2]]="Multi-Amount", "calc on import", LessorBaseEx[[#This Row],[Present
Value]])</f>
        <v>240754.55</v>
      </c>
      <c r="AN7" t="s">
        <v>295</v>
      </c>
      <c r="AR7" t="s">
        <v>652</v>
      </c>
      <c r="AS7" t="s">
        <v>656</v>
      </c>
      <c r="AT7" t="s">
        <v>653</v>
      </c>
      <c r="AU7" t="s">
        <v>653</v>
      </c>
      <c r="AV7" t="s">
        <v>654</v>
      </c>
      <c r="AW7" t="s">
        <v>655</v>
      </c>
    </row>
    <row r="8" spans="1:49" x14ac:dyDescent="0.25">
      <c r="A8" t="s">
        <v>452</v>
      </c>
      <c r="B8">
        <f>'Agency Cover'!$B$3</f>
        <v>0</v>
      </c>
      <c r="C8" t="s">
        <v>616</v>
      </c>
      <c r="D8" t="s">
        <v>290</v>
      </c>
      <c r="E8">
        <f>COUNTIF(LessorBaseEx[AgreementCode],LessorBaseEx[[#This Row],[AgreementCode]])</f>
        <v>1</v>
      </c>
      <c r="F8" t="s">
        <v>617</v>
      </c>
      <c r="G8">
        <f>COUNTIF(LessorBaseEx[AgreementTitle],LessorBaseEx[[#This Row],[AgreementTitle]])</f>
        <v>1</v>
      </c>
      <c r="I8" t="s">
        <v>270</v>
      </c>
      <c r="J8" t="s">
        <v>3</v>
      </c>
      <c r="K8" t="s">
        <v>618</v>
      </c>
      <c r="L8" s="17">
        <v>42461</v>
      </c>
      <c r="M8" s="17">
        <v>43555</v>
      </c>
      <c r="N8" s="17">
        <v>43556</v>
      </c>
      <c r="O8" s="17">
        <v>44286</v>
      </c>
      <c r="S8" s="3">
        <f>LEN(LessorBaseEx[[#This Row],[Comments]])</f>
        <v>0</v>
      </c>
      <c r="T8" s="3" t="str">
        <f>LessorBaseEx[[#This Row],[Multi-
Record]]</f>
        <v>None</v>
      </c>
      <c r="U8" t="str">
        <f>LessorBaseEx[[#This Row],[AgreementCode]]</f>
        <v>000-2016-001</v>
      </c>
      <c r="V8" t="str">
        <f>LEFT(LessorBaseEx[[#This Row],[AgreementTitle]],50)</f>
        <v>000-2016 Office Rental - Tulsa</v>
      </c>
      <c r="W8" t="str">
        <f>LessorBaseEx[[#This Row],[AgreementType]]</f>
        <v>Buildings</v>
      </c>
      <c r="Y8" t="str">
        <f>IF(LessorBaseEx[[#This Row],[Incl. Options
End Date]] = 0, IF(ROUND(ROUND((LessorBaseEx[[#This Row],[Initial Period
End Date]]-LessorBaseEx[[#This Row],[Initial Period
Start Date]])/365,2)*12,0)&lt;=12,"None","Transactional"), IF(ROUND(ROUND((LessorBaseEx[[#This Row],[Incl. Options
End Date]]-LessorBaseEx[[#This Row],[Initial Period
Start Date]])/365,2)*12,0)&lt;=12,"None","Transactional"))</f>
        <v>Transactional</v>
      </c>
      <c r="Z8" t="str">
        <f>LessorBaseEx[[#This Row],[ProvisionType]]</f>
        <v>Buildings</v>
      </c>
      <c r="AA8" s="17">
        <v>44013</v>
      </c>
      <c r="AB8" s="17">
        <f>IF(LessorBaseEx[[#This Row],[Incl. Options
End Date]]&gt;0,LessorBaseEx[[#This Row],[Incl. Options
End Date]],LessorBaseEx[[#This Row],[Initial Period
End Date]])</f>
        <v>44286</v>
      </c>
      <c r="AC8" s="19">
        <v>800</v>
      </c>
      <c r="AD8" t="s">
        <v>317</v>
      </c>
      <c r="AE8" t="s">
        <v>619</v>
      </c>
      <c r="AF8" s="20">
        <v>0.06</v>
      </c>
      <c r="AG8" s="17">
        <v>42461</v>
      </c>
      <c r="AH8" s="17">
        <f>IF(LessorBaseEx[[#This Row],[Incl. Options
End Date]]&gt;0,LessorBaseEx[[#This Row],[Incl. Options
End Date]],LessorBaseEx[[#This Row],[Initial Period
End Date]])</f>
        <v>44286</v>
      </c>
      <c r="AI8" cm="1">
        <f t="array" ref="AI8">ROUND(ROUND((LessorBaseEx[[#This Row],[Payment
EndDate]]-LessorBaseEx[[#This Row],[Payment
StartDate]])/365,2)*_xlfn.IFS(LessorBaseEx[[#This Row],[Payment
Frequency]]="MO",12,LessorBaseEx[[#This Row],[Payment
Frequency]]="QT",4,LessorBaseEx[[#This Row],[Payment
Frequency]]="SA",2,LessorBaseEx[[#This Row],[Payment
Frequency]]="AN",1),0)</f>
        <v>60</v>
      </c>
      <c r="AJ8" s="19">
        <f>ROUND(LessorBaseEx[[#This Row],[Payment
Amount]]*LessorBaseEx[[#This Row],[Number of
 Payments]],2)</f>
        <v>48000</v>
      </c>
      <c r="AK8" s="19">
        <f>IF(LessorBaseEx[[#This Row],[Multi-
Record2]]="Multi-Amount", "calc on import", ROUND(PV(LessorBaseEx[[#This Row],[Annual
Rate]]/IF(LessorBaseEx[[#This Row],[Payment
Frequency]] = "MO",12,IF(LessorBaseEx[[#This Row],[Payment
Frequency]] = "QT",4,IF(LessorBaseEx[[#This Row],[Payment
Frequency]] = "SA",2,IF(LessorBaseEx[[#This Row],[Payment
Frequency]] = "AN",1,0)))),LessorBaseEx[[#This Row],[Number of
 Payments]],LessorBaseEx[[#This Row],[Payment
Amount]],,IF(LessorBaseEx[[#This Row],[Payment
Timing]]="Advance",1,IF(LessorBaseEx[[#This Row],[Payment
Timing]]="Arrears",0,"x")))*-1,2))</f>
        <v>41380.449999999997</v>
      </c>
      <c r="AL8" s="19">
        <f>IF(LessorBaseEx[[#This Row],[Multi-
Record2]]="Multi-Amount", "calc on import",LessorBaseEx[[#This Row],[Total Amount
of Payments]]-LessorBaseEx[[#This Row],[Present
Value]])</f>
        <v>6619.5500000000029</v>
      </c>
      <c r="AM8" s="19">
        <f>IF(LessorBaseEx[[#This Row],[Multi-
Record2]]="Multi-Amount", "calc on import", LessorBaseEx[[#This Row],[Present
Value]])</f>
        <v>41380.449999999997</v>
      </c>
      <c r="AN8" t="s">
        <v>295</v>
      </c>
      <c r="AQ8" t="s">
        <v>620</v>
      </c>
      <c r="AR8" t="s">
        <v>652</v>
      </c>
      <c r="AS8" t="s">
        <v>656</v>
      </c>
      <c r="AT8" t="s">
        <v>653</v>
      </c>
      <c r="AU8" t="s">
        <v>653</v>
      </c>
      <c r="AV8" t="s">
        <v>654</v>
      </c>
      <c r="AW8" t="s">
        <v>655</v>
      </c>
    </row>
    <row r="9" spans="1:49" x14ac:dyDescent="0.25">
      <c r="Y9" t="str">
        <f>IF(LessorBaseEx[[#This Row],[Incl. Options
End Date]] = 0, IF(ROUND(ROUND((LessorBaseEx[[#This Row],[Initial Period
End Date]]-LessorBaseEx[[#This Row],[Initial Period
Start Date]])/365,2)*12,0)&lt;=12,"None","Transactional"), IF(ROUND(ROUND((LessorBaseEx[[#This Row],[Incl. Options
End Date]]-LessorBaseEx[[#This Row],[Initial Period
Start Date]])/365,2)*12,0)&lt;=12,"None","Transactional"))</f>
        <v>None</v>
      </c>
      <c r="Z9">
        <f>LessorBaseEx[[#This Row],[ProvisionType]]</f>
        <v>0</v>
      </c>
      <c r="AB9" s="17">
        <f>IF(LessorBaseEx[[#This Row],[Incl. Options
End Date]]&gt;0,LessorBaseEx[[#This Row],[Incl. Options
End Date]],LessorBaseEx[[#This Row],[Initial Period
End Date]])</f>
        <v>0</v>
      </c>
      <c r="AH9" s="17">
        <f>IF(LessorBaseEx[[#This Row],[Incl. Options
End Date]]&gt;0,LessorBaseEx[[#This Row],[Incl. Options
End Date]],LessorBaseEx[[#This Row],[Initial Period
End Date]])</f>
        <v>0</v>
      </c>
      <c r="AI9" t="e" cm="1">
        <f t="array" ref="AI9">ROUND(ROUND((LessorBaseEx[[#This Row],[Payment
EndDate]]-LessorBaseEx[[#This Row],[Payment
StartDate]])/365,2)*_xlfn.IFS(LessorBaseEx[[#This Row],[Payment
Frequency]]="MO",12,LessorBaseEx[[#This Row],[Payment
Frequency]]="QT",4,LessorBaseEx[[#This Row],[Payment
Frequency]]="SA",2,LessorBaseEx[[#This Row],[Payment
Frequency]]="AN",1),0)</f>
        <v>#N/A</v>
      </c>
      <c r="AJ9" s="19" t="e">
        <f>ROUND(LessorBaseEx[[#This Row],[Payment
Amount]]*LessorBaseEx[[#This Row],[Number of
 Payments]],2)</f>
        <v>#N/A</v>
      </c>
      <c r="AK9" s="19" t="e">
        <f>IF(LessorBaseEx[[#This Row],[Multi-
Record2]]="Multi-Amount", "calc on import", ROUND(PV(LessorBaseEx[[#This Row],[Annual
Rate]]/IF(LessorBaseEx[[#This Row],[Payment
Frequency]] = "MO",12,IF(LessorBaseEx[[#This Row],[Payment
Frequency]] = "QT",4,IF(LessorBaseEx[[#This Row],[Payment
Frequency]] = "SA",2,IF(LessorBaseEx[[#This Row],[Payment
Frequency]] = "AN",1,0)))),LessorBaseEx[[#This Row],[Number of
 Payments]],LessorBaseEx[[#This Row],[Payment
Amount]],,IF(LessorBaseEx[[#This Row],[Payment
Timing]]="Advance",1,IF(LessorBaseEx[[#This Row],[Payment
Timing]]="Arrears",0,"x")))*-1,2))</f>
        <v>#DIV/0!</v>
      </c>
      <c r="AL9" s="19" t="e">
        <f>IF(LessorBaseEx[[#This Row],[Multi-
Record2]]="Multi-Amount", "calc on import",LessorBaseEx[[#This Row],[Total Amount
of Payments]]-LessorBaseEx[[#This Row],[Present
Value]])</f>
        <v>#N/A</v>
      </c>
      <c r="AM9" s="19" t="e">
        <f>IF(LessorBaseEx[[#This Row],[Multi-
Record2]]="Multi-Amount", "calc on import", LessorBaseEx[[#This Row],[Present
Value]])</f>
        <v>#DIV/0!</v>
      </c>
      <c r="AN9" s="19">
        <v>0</v>
      </c>
    </row>
    <row r="10" spans="1:49" x14ac:dyDescent="0.25">
      <c r="A10" s="121" t="s">
        <v>621</v>
      </c>
      <c r="B10" s="122"/>
      <c r="C10" s="122"/>
      <c r="D10" s="122"/>
      <c r="E10" s="122"/>
      <c r="F10" s="122"/>
      <c r="G10" s="122"/>
      <c r="H10" s="122"/>
      <c r="I10" s="122"/>
      <c r="J10" s="122"/>
      <c r="K10" s="122"/>
      <c r="L10" s="123"/>
      <c r="M10" s="123"/>
      <c r="N10" s="123"/>
      <c r="O10" s="123"/>
      <c r="P10" s="123"/>
      <c r="Q10" s="123"/>
      <c r="R10" s="122"/>
      <c r="S10" s="124"/>
      <c r="T10" s="124"/>
      <c r="U10" s="122"/>
      <c r="V10" s="122"/>
      <c r="W10" s="122"/>
      <c r="X10" s="122"/>
      <c r="Y10" t="str">
        <f>IF(LessorBaseEx[[#This Row],[Incl. Options
End Date]] = 0, IF(ROUND(ROUND((LessorBaseEx[[#This Row],[Initial Period
End Date]]-LessorBaseEx[[#This Row],[Initial Period
Start Date]])/365,2)*12,0)&lt;=12,"None","Transactional"), IF(ROUND(ROUND((LessorBaseEx[[#This Row],[Incl. Options
End Date]]-LessorBaseEx[[#This Row],[Initial Period
Start Date]])/365,2)*12,0)&lt;=12,"None","Transactional"))</f>
        <v>None</v>
      </c>
      <c r="Z10">
        <f>LessorBaseEx[[#This Row],[ProvisionType]]</f>
        <v>0</v>
      </c>
      <c r="AB10" s="17">
        <f>IF(LessorBaseEx[[#This Row],[Incl. Options
End Date]]&gt;0,LessorBaseEx[[#This Row],[Incl. Options
End Date]],LessorBaseEx[[#This Row],[Initial Period
End Date]])</f>
        <v>0</v>
      </c>
      <c r="AI10" t="e" cm="1">
        <f t="array" ref="AI10">ROUND(ROUND((LessorBaseEx[[#This Row],[Payment
EndDate]]-LessorBaseEx[[#This Row],[Payment
StartDate]])/365,2)*_xlfn.IFS(LessorBaseEx[[#This Row],[Payment
Frequency]]="MO",12,LessorBaseEx[[#This Row],[Payment
Frequency]]="QT",4,LessorBaseEx[[#This Row],[Payment
Frequency]]="SA",2,LessorBaseEx[[#This Row],[Payment
Frequency]]="AN",1),0)</f>
        <v>#N/A</v>
      </c>
      <c r="AJ10" s="19" t="e">
        <f>ROUND(LessorBaseEx[[#This Row],[Payment
Amount]]*LessorBaseEx[[#This Row],[Number of
 Payments]],2)</f>
        <v>#N/A</v>
      </c>
      <c r="AK10" s="19" t="e">
        <f>IF(LessorBaseEx[[#This Row],[Multi-
Record2]]="Multi-Amount", "calc on import", ROUND(PV(LessorBaseEx[[#This Row],[Annual
Rate]]/IF(LessorBaseEx[[#This Row],[Payment
Frequency]] = "MO",12,IF(LessorBaseEx[[#This Row],[Payment
Frequency]] = "QT",4,IF(LessorBaseEx[[#This Row],[Payment
Frequency]] = "SA",2,IF(LessorBaseEx[[#This Row],[Payment
Frequency]] = "AN",1,0)))),LessorBaseEx[[#This Row],[Number of
 Payments]],LessorBaseEx[[#This Row],[Payment
Amount]],,IF(LessorBaseEx[[#This Row],[Payment
Timing]]="Advance",1,IF(LessorBaseEx[[#This Row],[Payment
Timing]]="Arrears",0,"x")))*-1,2))</f>
        <v>#DIV/0!</v>
      </c>
      <c r="AL10" s="19" t="e">
        <f>IF(LessorBaseEx[[#This Row],[Multi-
Record2]]="Multi-Amount", "calc on import",LessorBaseEx[[#This Row],[Total Amount
of Payments]]-LessorBaseEx[[#This Row],[Present
Value]])</f>
        <v>#N/A</v>
      </c>
      <c r="AM10" s="19" t="e">
        <f>IF(LessorBaseEx[[#This Row],[Multi-
Record2]]="Multi-Amount", "calc on import", LessorBaseEx[[#This Row],[Present
Value]])</f>
        <v>#DIV/0!</v>
      </c>
    </row>
    <row r="11" spans="1:49" x14ac:dyDescent="0.25">
      <c r="A11" t="s">
        <v>452</v>
      </c>
      <c r="B11">
        <f>'Agency Cover'!$B$3</f>
        <v>0</v>
      </c>
      <c r="C11" t="s">
        <v>622</v>
      </c>
      <c r="D11" t="s">
        <v>495</v>
      </c>
      <c r="E11">
        <f>COUNTIF(LessorBaseEx[AgreementCode],LessorBaseEx[[#This Row],[AgreementCode]])</f>
        <v>3</v>
      </c>
      <c r="F11" t="s">
        <v>623</v>
      </c>
      <c r="G11">
        <f>COUNTIF(LessorBaseEx[AgreementTitle],LessorBaseEx[[#This Row],[AgreementTitle]])</f>
        <v>3</v>
      </c>
      <c r="I11" t="s">
        <v>270</v>
      </c>
      <c r="J11" t="s">
        <v>3</v>
      </c>
      <c r="K11" t="s">
        <v>624</v>
      </c>
      <c r="L11" s="17">
        <v>43252</v>
      </c>
      <c r="M11" s="17">
        <v>46904</v>
      </c>
      <c r="N11" s="17">
        <v>46905</v>
      </c>
      <c r="O11" s="17">
        <v>48730</v>
      </c>
      <c r="S11" s="3">
        <f>LEN(LessorBaseEx[[#This Row],[Comments]])</f>
        <v>0</v>
      </c>
      <c r="T11" s="3" t="str">
        <f>LessorBaseEx[[#This Row],[Multi-
Record]]</f>
        <v>Multi-Provision</v>
      </c>
      <c r="U11" t="s">
        <v>266</v>
      </c>
      <c r="V11" t="s">
        <v>625</v>
      </c>
      <c r="W11" t="s">
        <v>266</v>
      </c>
      <c r="X11" t="s">
        <v>626</v>
      </c>
      <c r="Y11" t="str">
        <f>IF(LessorBaseEx[[#This Row],[Incl. Options
End Date]] = 0, IF(ROUND(ROUND((LessorBaseEx[[#This Row],[Initial Period
End Date]]-LessorBaseEx[[#This Row],[Initial Period
Start Date]])/365,2)*12,0)&lt;=12,"None","Transactional"), IF(ROUND(ROUND((LessorBaseEx[[#This Row],[Incl. Options
End Date]]-LessorBaseEx[[#This Row],[Initial Period
Start Date]])/365,2)*12,0)&lt;=12,"None","Transactional"))</f>
        <v>Transactional</v>
      </c>
      <c r="Z11" t="str">
        <f>LessorBaseEx[[#This Row],[ProvisionType]]</f>
        <v>Land</v>
      </c>
      <c r="AA11" s="17">
        <v>44013</v>
      </c>
      <c r="AB11" s="17">
        <f>IF(LessorBaseEx[[#This Row],[Incl. Options
End Date]]&gt;0,LessorBaseEx[[#This Row],[Incl. Options
End Date]],LessorBaseEx[[#This Row],[Initial Period
End Date]])</f>
        <v>48730</v>
      </c>
      <c r="AC11" s="19">
        <v>1200</v>
      </c>
      <c r="AD11" t="s">
        <v>317</v>
      </c>
      <c r="AE11" t="s">
        <v>316</v>
      </c>
      <c r="AF11" s="20">
        <v>2.2499999999999999E-2</v>
      </c>
      <c r="AG11" s="17">
        <v>43252</v>
      </c>
      <c r="AH11" s="17">
        <v>48730</v>
      </c>
      <c r="AI11" cm="1">
        <f t="array" ref="AI11">ROUND(ROUND((LessorBaseEx[[#This Row],[Payment
EndDate]]-LessorBaseEx[[#This Row],[Payment
StartDate]])/365,2)*_xlfn.IFS(LessorBaseEx[[#This Row],[Payment
Frequency]]="MO",12,LessorBaseEx[[#This Row],[Payment
Frequency]]="QT",4,LessorBaseEx[[#This Row],[Payment
Frequency]]="SA",2,LessorBaseEx[[#This Row],[Payment
Frequency]]="AN",1),0)</f>
        <v>180</v>
      </c>
      <c r="AJ11" s="19">
        <f>ROUND(LessorBaseEx[[#This Row],[Payment
Amount]]*LessorBaseEx[[#This Row],[Number of
 Payments]],2)</f>
        <v>216000</v>
      </c>
      <c r="AK11" s="19">
        <f>IF(LessorBaseEx[[#This Row],[Multi-
Record2]]="Multi-Amount", "calc on import", ROUND(PV(LessorBaseEx[[#This Row],[Annual
Rate]]/IF(LessorBaseEx[[#This Row],[Payment
Frequency]] = "MO",12,IF(LessorBaseEx[[#This Row],[Payment
Frequency]] = "QT",4,IF(LessorBaseEx[[#This Row],[Payment
Frequency]] = "SA",2,IF(LessorBaseEx[[#This Row],[Payment
Frequency]] = "AN",1,0)))),LessorBaseEx[[#This Row],[Number of
 Payments]],LessorBaseEx[[#This Row],[Payment
Amount]],,IF(LessorBaseEx[[#This Row],[Payment
Timing]]="Advance",1,IF(LessorBaseEx[[#This Row],[Payment
Timing]]="Arrears",0,"x")))*-1,2))</f>
        <v>183525.87</v>
      </c>
      <c r="AL11" s="19">
        <f>IF(LessorBaseEx[[#This Row],[Multi-
Record2]]="Multi-Amount", "calc on import",LessorBaseEx[[#This Row],[Total Amount
of Payments]]-LessorBaseEx[[#This Row],[Present
Value]])</f>
        <v>32474.130000000005</v>
      </c>
      <c r="AM11" s="19">
        <f>IF(LessorBaseEx[[#This Row],[Multi-
Record2]]="Multi-Amount", "calc on import", LessorBaseEx[[#This Row],[Present
Value]])</f>
        <v>183525.87</v>
      </c>
      <c r="AN11" t="s">
        <v>295</v>
      </c>
    </row>
    <row r="12" spans="1:49" x14ac:dyDescent="0.25">
      <c r="A12" t="s">
        <v>452</v>
      </c>
      <c r="B12">
        <f>'Agency Cover'!$B$3</f>
        <v>0</v>
      </c>
      <c r="C12" t="s">
        <v>622</v>
      </c>
      <c r="D12" t="s">
        <v>495</v>
      </c>
      <c r="E12">
        <f>COUNTIF(LessorBaseEx[AgreementCode],LessorBaseEx[[#This Row],[AgreementCode]])</f>
        <v>3</v>
      </c>
      <c r="F12" t="s">
        <v>623</v>
      </c>
      <c r="G12">
        <f>COUNTIF(LessorBaseEx[AgreementTitle],LessorBaseEx[[#This Row],[AgreementTitle]])</f>
        <v>3</v>
      </c>
      <c r="I12" t="s">
        <v>270</v>
      </c>
      <c r="J12" t="s">
        <v>3</v>
      </c>
      <c r="K12" t="s">
        <v>624</v>
      </c>
      <c r="L12" s="17">
        <v>43252</v>
      </c>
      <c r="M12" s="17">
        <v>46904</v>
      </c>
      <c r="N12" s="17">
        <v>46905</v>
      </c>
      <c r="O12" s="17">
        <v>48730</v>
      </c>
      <c r="R12" s="17"/>
      <c r="S12" s="3">
        <f>LEN(LessorBaseEx[[#This Row],[Comments]])</f>
        <v>0</v>
      </c>
      <c r="T12" s="3" t="str">
        <f>LessorBaseEx[[#This Row],[Multi-
Record]]</f>
        <v>Multi-Provision</v>
      </c>
      <c r="U12" t="s">
        <v>499</v>
      </c>
      <c r="V12" t="s">
        <v>525</v>
      </c>
      <c r="W12" t="str">
        <f>LessorBaseEx[[#This Row],[AgreementType]]</f>
        <v>Buildings</v>
      </c>
      <c r="X12" t="s">
        <v>627</v>
      </c>
      <c r="Y12" t="str">
        <f>IF(LessorBaseEx[[#This Row],[Incl. Options
End Date]] = 0, IF(ROUND(ROUND((LessorBaseEx[[#This Row],[Initial Period
End Date]]-LessorBaseEx[[#This Row],[Initial Period
Start Date]])/365,2)*12,0)&lt;=12,"None","Transactional"), IF(ROUND(ROUND((LessorBaseEx[[#This Row],[Incl. Options
End Date]]-LessorBaseEx[[#This Row],[Initial Period
Start Date]])/365,2)*12,0)&lt;=12,"None","Transactional"))</f>
        <v>Transactional</v>
      </c>
      <c r="Z12" t="str">
        <f>LessorBaseEx[[#This Row],[ProvisionType]]</f>
        <v>Buildings</v>
      </c>
      <c r="AA12" s="17">
        <v>44013</v>
      </c>
      <c r="AB12" s="17">
        <f>IF(LessorBaseEx[[#This Row],[Incl. Options
End Date]]&gt;0,LessorBaseEx[[#This Row],[Incl. Options
End Date]],LessorBaseEx[[#This Row],[Initial Period
End Date]])</f>
        <v>48730</v>
      </c>
      <c r="AC12" s="19">
        <v>3500</v>
      </c>
      <c r="AD12" t="s">
        <v>317</v>
      </c>
      <c r="AE12" t="s">
        <v>316</v>
      </c>
      <c r="AF12" s="20">
        <v>2.75E-2</v>
      </c>
      <c r="AG12" s="17">
        <v>43252</v>
      </c>
      <c r="AH12" s="17">
        <v>48730</v>
      </c>
      <c r="AI12" cm="1">
        <f t="array" ref="AI12">ROUND(ROUND((LessorBaseEx[[#This Row],[Payment
EndDate]]-LessorBaseEx[[#This Row],[Payment
StartDate]])/365,2)*_xlfn.IFS(LessorBaseEx[[#This Row],[Payment
Frequency]]="MO",12,LessorBaseEx[[#This Row],[Payment
Frequency]]="QT",4,LessorBaseEx[[#This Row],[Payment
Frequency]]="SA",2,LessorBaseEx[[#This Row],[Payment
Frequency]]="AN",1),0)</f>
        <v>180</v>
      </c>
      <c r="AJ12" s="19">
        <f>ROUND(LessorBaseEx[[#This Row],[Payment
Amount]]*LessorBaseEx[[#This Row],[Number of
 Payments]],2)</f>
        <v>630000</v>
      </c>
      <c r="AK12" s="19">
        <f>IF(LessorBaseEx[[#This Row],[Multi-
Record2]]="Multi-Amount", "calc on import", ROUND(PV(LessorBaseEx[[#This Row],[Annual
Rate]]/IF(LessorBaseEx[[#This Row],[Payment
Frequency]] = "MO",12,IF(LessorBaseEx[[#This Row],[Payment
Frequency]] = "QT",4,IF(LessorBaseEx[[#This Row],[Payment
Frequency]] = "SA",2,IF(LessorBaseEx[[#This Row],[Payment
Frequency]] = "AN",1,0)))),LessorBaseEx[[#This Row],[Number of
 Payments]],LessorBaseEx[[#This Row],[Payment
Amount]],,IF(LessorBaseEx[[#This Row],[Payment
Timing]]="Advance",1,IF(LessorBaseEx[[#This Row],[Payment
Timing]]="Arrears",0,"x")))*-1,2))</f>
        <v>516933.24</v>
      </c>
      <c r="AL12" s="19">
        <f>IF(LessorBaseEx[[#This Row],[Multi-
Record2]]="Multi-Amount", "calc on import",LessorBaseEx[[#This Row],[Total Amount
of Payments]]-LessorBaseEx[[#This Row],[Present
Value]])</f>
        <v>113066.76000000001</v>
      </c>
      <c r="AM12" s="19">
        <f>IF(LessorBaseEx[[#This Row],[Multi-
Record2]]="Multi-Amount", "calc on import", LessorBaseEx[[#This Row],[Present
Value]])</f>
        <v>516933.24</v>
      </c>
      <c r="AN12" t="s">
        <v>295</v>
      </c>
    </row>
    <row r="13" spans="1:49" x14ac:dyDescent="0.25">
      <c r="A13" t="s">
        <v>452</v>
      </c>
      <c r="B13">
        <f>'Agency Cover'!$B$3</f>
        <v>0</v>
      </c>
      <c r="C13" t="s">
        <v>622</v>
      </c>
      <c r="D13" t="s">
        <v>495</v>
      </c>
      <c r="E13">
        <f>COUNTIF(LessorBaseEx[AgreementCode],LessorBaseEx[[#This Row],[AgreementCode]])</f>
        <v>3</v>
      </c>
      <c r="F13" t="s">
        <v>623</v>
      </c>
      <c r="G13">
        <f>COUNTIF(LessorBaseEx[AgreementTitle],LessorBaseEx[[#This Row],[AgreementTitle]])</f>
        <v>3</v>
      </c>
      <c r="I13" t="s">
        <v>270</v>
      </c>
      <c r="J13" t="s">
        <v>3</v>
      </c>
      <c r="K13" t="s">
        <v>624</v>
      </c>
      <c r="L13" s="17">
        <v>43252</v>
      </c>
      <c r="M13" s="17">
        <v>46904</v>
      </c>
      <c r="N13" s="17">
        <v>46905</v>
      </c>
      <c r="O13" s="17">
        <v>48730</v>
      </c>
      <c r="R13" s="17"/>
      <c r="S13" s="3">
        <f>LEN(LessorBaseEx[[#This Row],[Comments]])</f>
        <v>0</v>
      </c>
      <c r="T13" s="3" t="str">
        <f>LessorBaseEx[[#This Row],[Multi-
Record]]</f>
        <v>Multi-Provision</v>
      </c>
      <c r="U13" t="s">
        <v>544</v>
      </c>
      <c r="V13" t="s">
        <v>628</v>
      </c>
      <c r="W13" t="s">
        <v>262</v>
      </c>
      <c r="X13" t="s">
        <v>629</v>
      </c>
      <c r="Y13" t="s">
        <v>290</v>
      </c>
      <c r="Z13" t="str">
        <f>LessorBaseEx[[#This Row],[ProvisionType]]</f>
        <v>Services</v>
      </c>
      <c r="AB13" s="17">
        <f>IF(LessorBaseEx[[#This Row],[Incl. Options
End Date]]&gt;0,LessorBaseEx[[#This Row],[Incl. Options
End Date]],LessorBaseEx[[#This Row],[Initial Period
End Date]])</f>
        <v>48730</v>
      </c>
      <c r="AI13" t="e" cm="1">
        <f t="array" ref="AI13">ROUND(ROUND((LessorBaseEx[[#This Row],[Payment
EndDate]]-LessorBaseEx[[#This Row],[Payment
StartDate]])/365,2)*_xlfn.IFS(LessorBaseEx[[#This Row],[Payment
Frequency]]="MO",12,LessorBaseEx[[#This Row],[Payment
Frequency]]="QT",4,LessorBaseEx[[#This Row],[Payment
Frequency]]="SA",2,LessorBaseEx[[#This Row],[Payment
Frequency]]="AN",1),0)</f>
        <v>#N/A</v>
      </c>
      <c r="AJ13" s="19" t="e">
        <f>ROUND(LessorBaseEx[[#This Row],[Payment
Amount]]*LessorBaseEx[[#This Row],[Number of
 Payments]],2)</f>
        <v>#N/A</v>
      </c>
      <c r="AK13" s="19" t="e">
        <f>IF(LessorBaseEx[[#This Row],[Multi-
Record2]]="Multi-Amount", "calc on import", ROUND(PV(LessorBaseEx[[#This Row],[Annual
Rate]]/IF(LessorBaseEx[[#This Row],[Payment
Frequency]] = "MO",12,IF(LessorBaseEx[[#This Row],[Payment
Frequency]] = "QT",4,IF(LessorBaseEx[[#This Row],[Payment
Frequency]] = "SA",2,IF(LessorBaseEx[[#This Row],[Payment
Frequency]] = "AN",1,0)))),LessorBaseEx[[#This Row],[Number of
 Payments]],LessorBaseEx[[#This Row],[Payment
Amount]],,IF(LessorBaseEx[[#This Row],[Payment
Timing]]="Advance",1,IF(LessorBaseEx[[#This Row],[Payment
Timing]]="Arrears",0,"x")))*-1,2))</f>
        <v>#DIV/0!</v>
      </c>
      <c r="AL13" s="19" t="e">
        <f>IF(LessorBaseEx[[#This Row],[Multi-
Record2]]="Multi-Amount", "calc on import",LessorBaseEx[[#This Row],[Total Amount
of Payments]]-LessorBaseEx[[#This Row],[Present
Value]])</f>
        <v>#N/A</v>
      </c>
      <c r="AM13" s="19" t="e">
        <f>IF(LessorBaseEx[[#This Row],[Multi-
Record2]]="Multi-Amount", "calc on import", LessorBaseEx[[#This Row],[Present
Value]])</f>
        <v>#DIV/0!</v>
      </c>
    </row>
    <row r="14" spans="1:49" x14ac:dyDescent="0.25">
      <c r="A14" t="s">
        <v>452</v>
      </c>
      <c r="B14">
        <f>'Agency Cover'!$B$3</f>
        <v>0</v>
      </c>
      <c r="C14" t="s">
        <v>630</v>
      </c>
      <c r="D14" t="s">
        <v>495</v>
      </c>
      <c r="E14">
        <f>COUNTIF(LessorBaseEx[AgreementCode],LessorBaseEx[[#This Row],[AgreementCode]])</f>
        <v>2</v>
      </c>
      <c r="F14" t="s">
        <v>631</v>
      </c>
      <c r="G14">
        <f>COUNTIF(LessorBaseEx[AgreementTitle],LessorBaseEx[[#This Row],[AgreementTitle]])</f>
        <v>2</v>
      </c>
      <c r="I14" t="s">
        <v>274</v>
      </c>
      <c r="J14" t="s">
        <v>3</v>
      </c>
      <c r="K14" t="s">
        <v>624</v>
      </c>
      <c r="L14" s="17">
        <v>43525</v>
      </c>
      <c r="M14" s="17">
        <v>45351</v>
      </c>
      <c r="P14" s="17">
        <v>45352</v>
      </c>
      <c r="Q14" s="17">
        <v>46081</v>
      </c>
      <c r="R14" s="17"/>
      <c r="S14" s="3">
        <f>LEN(LessorBaseEx[[#This Row],[Comments]])</f>
        <v>0</v>
      </c>
      <c r="T14" s="3" t="str">
        <f>LessorBaseEx[[#This Row],[Multi-
Record]]</f>
        <v>Multi-Provision</v>
      </c>
      <c r="U14" t="s">
        <v>632</v>
      </c>
      <c r="V14" t="s">
        <v>633</v>
      </c>
      <c r="W14" t="str">
        <f>LessorBaseEx[[#This Row],[AgreementType]]</f>
        <v>Vehicles</v>
      </c>
      <c r="X14" t="s">
        <v>633</v>
      </c>
      <c r="Y14" t="str">
        <f>IF(LessorBaseEx[[#This Row],[Incl. Options
End Date]] = 0, IF(ROUND(ROUND((LessorBaseEx[[#This Row],[Initial Period
End Date]]-LessorBaseEx[[#This Row],[Initial Period
Start Date]])/365,2)*12,0)&lt;=12,"None","Transactional"), IF(ROUND(ROUND((LessorBaseEx[[#This Row],[Incl. Options
End Date]]-LessorBaseEx[[#This Row],[Initial Period
Start Date]])/365,2)*12,0)&lt;=12,"None","Transactional"))</f>
        <v>Transactional</v>
      </c>
      <c r="Z14" t="str">
        <f>LessorBaseEx[[#This Row],[ProvisionType]]</f>
        <v>Vehicles</v>
      </c>
      <c r="AA14" s="17">
        <v>44013</v>
      </c>
      <c r="AB14" s="17">
        <f>IF(LessorBaseEx[[#This Row],[Incl. Options
End Date]]&gt;0,LessorBaseEx[[#This Row],[Incl. Options
End Date]],LessorBaseEx[[#This Row],[Initial Period
End Date]])</f>
        <v>45351</v>
      </c>
      <c r="AC14" s="19">
        <v>750</v>
      </c>
      <c r="AD14" t="s">
        <v>317</v>
      </c>
      <c r="AE14" t="s">
        <v>316</v>
      </c>
      <c r="AF14" s="20">
        <v>0.03</v>
      </c>
      <c r="AG14" s="17">
        <v>43525</v>
      </c>
      <c r="AH14" s="17">
        <v>45351</v>
      </c>
      <c r="AI14" cm="1">
        <f t="array" ref="AI14">ROUND(ROUND((LessorBaseEx[[#This Row],[Payment
EndDate]]-LessorBaseEx[[#This Row],[Payment
StartDate]])/365,2)*_xlfn.IFS(LessorBaseEx[[#This Row],[Payment
Frequency]]="MO",12,LessorBaseEx[[#This Row],[Payment
Frequency]]="QT",4,LessorBaseEx[[#This Row],[Payment
Frequency]]="SA",2,LessorBaseEx[[#This Row],[Payment
Frequency]]="AN",1),0)</f>
        <v>60</v>
      </c>
      <c r="AJ14" s="19">
        <f>ROUND(LessorBaseEx[[#This Row],[Payment
Amount]]*LessorBaseEx[[#This Row],[Number of
 Payments]],2)</f>
        <v>45000</v>
      </c>
      <c r="AK14" s="19">
        <f>IF(LessorBaseEx[[#This Row],[Multi-
Record2]]="Multi-Amount", "calc on import", ROUND(PV(LessorBaseEx[[#This Row],[Annual
Rate]]/IF(LessorBaseEx[[#This Row],[Payment
Frequency]] = "MO",12,IF(LessorBaseEx[[#This Row],[Payment
Frequency]] = "QT",4,IF(LessorBaseEx[[#This Row],[Payment
Frequency]] = "SA",2,IF(LessorBaseEx[[#This Row],[Payment
Frequency]] = "AN",1,0)))),LessorBaseEx[[#This Row],[Number of
 Payments]],LessorBaseEx[[#This Row],[Payment
Amount]],,IF(LessorBaseEx[[#This Row],[Payment
Timing]]="Advance",1,IF(LessorBaseEx[[#This Row],[Payment
Timing]]="Arrears",0,"x")))*-1,2))</f>
        <v>41843.620000000003</v>
      </c>
      <c r="AL14" s="19">
        <f>IF(LessorBaseEx[[#This Row],[Multi-
Record2]]="Multi-Amount", "calc on import",LessorBaseEx[[#This Row],[Total Amount
of Payments]]-LessorBaseEx[[#This Row],[Present
Value]])</f>
        <v>3156.3799999999974</v>
      </c>
      <c r="AM14" s="19">
        <f>IF(LessorBaseEx[[#This Row],[Multi-
Record2]]="Multi-Amount", "calc on import", LessorBaseEx[[#This Row],[Present
Value]])</f>
        <v>41843.620000000003</v>
      </c>
      <c r="AN14" t="s">
        <v>295</v>
      </c>
    </row>
    <row r="15" spans="1:49" x14ac:dyDescent="0.25">
      <c r="A15" t="s">
        <v>452</v>
      </c>
      <c r="B15">
        <f>'Agency Cover'!$B$3</f>
        <v>0</v>
      </c>
      <c r="C15" t="s">
        <v>630</v>
      </c>
      <c r="D15" t="s">
        <v>495</v>
      </c>
      <c r="E15">
        <f>COUNTIF(LessorBaseEx[AgreementCode],LessorBaseEx[[#This Row],[AgreementCode]])</f>
        <v>2</v>
      </c>
      <c r="F15" t="s">
        <v>631</v>
      </c>
      <c r="G15">
        <f>COUNTIF(LessorBaseEx[AgreementTitle],LessorBaseEx[[#This Row],[AgreementTitle]])</f>
        <v>2</v>
      </c>
      <c r="I15" t="s">
        <v>274</v>
      </c>
      <c r="J15" t="s">
        <v>3</v>
      </c>
      <c r="K15" t="s">
        <v>624</v>
      </c>
      <c r="L15" s="17">
        <v>43525</v>
      </c>
      <c r="M15" s="17">
        <v>45351</v>
      </c>
      <c r="P15" s="17">
        <v>45352</v>
      </c>
      <c r="Q15" s="17">
        <v>46081</v>
      </c>
      <c r="R15" s="17"/>
      <c r="S15" s="3">
        <f>LEN(LessorBaseEx[[#This Row],[Comments]])</f>
        <v>0</v>
      </c>
      <c r="T15" s="3" t="str">
        <f>LessorBaseEx[[#This Row],[Multi-
Record]]</f>
        <v>Multi-Provision</v>
      </c>
      <c r="U15" t="s">
        <v>634</v>
      </c>
      <c r="V15" t="s">
        <v>635</v>
      </c>
      <c r="W15" t="str">
        <f>LessorBaseEx[[#This Row],[AgreementType]]</f>
        <v>Vehicles</v>
      </c>
      <c r="X15" t="s">
        <v>635</v>
      </c>
      <c r="Y15" t="str">
        <f>IF(LessorBaseEx[[#This Row],[Incl. Options
End Date]] = 0, IF(ROUND(ROUND((LessorBaseEx[[#This Row],[Initial Period
End Date]]-LessorBaseEx[[#This Row],[Initial Period
Start Date]])/365,2)*12,0)&lt;=12,"None","Transactional"), IF(ROUND(ROUND((LessorBaseEx[[#This Row],[Incl. Options
End Date]]-LessorBaseEx[[#This Row],[Initial Period
Start Date]])/365,2)*12,0)&lt;=12,"None","Transactional"))</f>
        <v>Transactional</v>
      </c>
      <c r="Z15" t="str">
        <f>LessorBaseEx[[#This Row],[ProvisionType]]</f>
        <v>Vehicles</v>
      </c>
      <c r="AA15" s="17">
        <v>44013</v>
      </c>
      <c r="AB15" s="17">
        <f>IF(LessorBaseEx[[#This Row],[Incl. Options
End Date]]&gt;0,LessorBaseEx[[#This Row],[Incl. Options
End Date]],LessorBaseEx[[#This Row],[Initial Period
End Date]])</f>
        <v>45351</v>
      </c>
      <c r="AC15" s="19">
        <v>975</v>
      </c>
      <c r="AD15" t="s">
        <v>317</v>
      </c>
      <c r="AE15" t="s">
        <v>316</v>
      </c>
      <c r="AF15" s="20">
        <v>0.03</v>
      </c>
      <c r="AG15" s="17">
        <v>43525</v>
      </c>
      <c r="AH15" s="17">
        <v>45351</v>
      </c>
      <c r="AI15" cm="1">
        <f t="array" ref="AI15">ROUND(ROUND((LessorBaseEx[[#This Row],[Payment
EndDate]]-LessorBaseEx[[#This Row],[Payment
StartDate]])/365,2)*_xlfn.IFS(LessorBaseEx[[#This Row],[Payment
Frequency]]="MO",12,LessorBaseEx[[#This Row],[Payment
Frequency]]="QT",4,LessorBaseEx[[#This Row],[Payment
Frequency]]="SA",2,LessorBaseEx[[#This Row],[Payment
Frequency]]="AN",1),0)</f>
        <v>60</v>
      </c>
      <c r="AJ15" s="19">
        <f>ROUND(LessorBaseEx[[#This Row],[Payment
Amount]]*LessorBaseEx[[#This Row],[Number of
 Payments]],2)</f>
        <v>58500</v>
      </c>
      <c r="AK15" s="19">
        <f>IF(LessorBaseEx[[#This Row],[Multi-
Record2]]="Multi-Amount", "calc on import", ROUND(PV(LessorBaseEx[[#This Row],[Annual
Rate]]/IF(LessorBaseEx[[#This Row],[Payment
Frequency]] = "MO",12,IF(LessorBaseEx[[#This Row],[Payment
Frequency]] = "QT",4,IF(LessorBaseEx[[#This Row],[Payment
Frequency]] = "SA",2,IF(LessorBaseEx[[#This Row],[Payment
Frequency]] = "AN",1,0)))),LessorBaseEx[[#This Row],[Number of
 Payments]],LessorBaseEx[[#This Row],[Payment
Amount]],,IF(LessorBaseEx[[#This Row],[Payment
Timing]]="Advance",1,IF(LessorBaseEx[[#This Row],[Payment
Timing]]="Arrears",0,"x")))*-1,2))</f>
        <v>54396.7</v>
      </c>
      <c r="AL15" s="19">
        <f>IF(LessorBaseEx[[#This Row],[Multi-
Record2]]="Multi-Amount", "calc on import",LessorBaseEx[[#This Row],[Total Amount
of Payments]]-LessorBaseEx[[#This Row],[Present
Value]])</f>
        <v>4103.3000000000029</v>
      </c>
      <c r="AM15" s="19">
        <f>IF(LessorBaseEx[[#This Row],[Multi-
Record2]]="Multi-Amount", "calc on import", LessorBaseEx[[#This Row],[Present
Value]])</f>
        <v>54396.7</v>
      </c>
      <c r="AN15" t="s">
        <v>295</v>
      </c>
    </row>
    <row r="16" spans="1:49" x14ac:dyDescent="0.25">
      <c r="R16" s="17"/>
      <c r="Y16" t="str">
        <f>IF(LessorBaseEx[[#This Row],[Incl. Options
End Date]] = 0, IF(ROUND(ROUND((LessorBaseEx[[#This Row],[Initial Period
End Date]]-LessorBaseEx[[#This Row],[Initial Period
Start Date]])/365,2)*12,0)&lt;=12,"None","Transactional"), IF(ROUND(ROUND((LessorBaseEx[[#This Row],[Incl. Options
End Date]]-LessorBaseEx[[#This Row],[Initial Period
Start Date]])/365,2)*12,0)&lt;=12,"None","Transactional"))</f>
        <v>None</v>
      </c>
      <c r="Z16">
        <f>LessorBaseEx[[#This Row],[ProvisionType]]</f>
        <v>0</v>
      </c>
      <c r="AB16" s="17">
        <f>IF(LessorBaseEx[[#This Row],[Incl. Options
End Date]]&gt;0,LessorBaseEx[[#This Row],[Incl. Options
End Date]],LessorBaseEx[[#This Row],[Initial Period
End Date]])</f>
        <v>0</v>
      </c>
      <c r="AI16" t="e" cm="1">
        <f t="array" ref="AI16">ROUND(ROUND((LessorBaseEx[[#This Row],[Payment
EndDate]]-LessorBaseEx[[#This Row],[Payment
StartDate]])/365,2)*_xlfn.IFS(LessorBaseEx[[#This Row],[Payment
Frequency]]="MO",12,LessorBaseEx[[#This Row],[Payment
Frequency]]="QT",4,LessorBaseEx[[#This Row],[Payment
Frequency]]="SA",2,LessorBaseEx[[#This Row],[Payment
Frequency]]="AN",1),0)</f>
        <v>#N/A</v>
      </c>
      <c r="AJ16" s="19" t="e">
        <f>ROUND(LessorBaseEx[[#This Row],[Payment
Amount]]*LessorBaseEx[[#This Row],[Number of
 Payments]],2)</f>
        <v>#N/A</v>
      </c>
      <c r="AK16" s="19" t="e">
        <f>IF(LessorBaseEx[[#This Row],[Multi-
Record2]]="Multi-Amount", "calc on import", ROUND(PV(LessorBaseEx[[#This Row],[Annual
Rate]]/IF(LessorBaseEx[[#This Row],[Payment
Frequency]] = "MO",12,IF(LessorBaseEx[[#This Row],[Payment
Frequency]] = "QT",4,IF(LessorBaseEx[[#This Row],[Payment
Frequency]] = "SA",2,IF(LessorBaseEx[[#This Row],[Payment
Frequency]] = "AN",1,0)))),LessorBaseEx[[#This Row],[Number of
 Payments]],LessorBaseEx[[#This Row],[Payment
Amount]],,IF(LessorBaseEx[[#This Row],[Payment
Timing]]="Advance",1,IF(LessorBaseEx[[#This Row],[Payment
Timing]]="Arrears",0,"x")))*-1,2))</f>
        <v>#DIV/0!</v>
      </c>
      <c r="AL16" s="19" t="e">
        <f>IF(LessorBaseEx[[#This Row],[Multi-
Record2]]="Multi-Amount", "calc on import",LessorBaseEx[[#This Row],[Total Amount
of Payments]]-LessorBaseEx[[#This Row],[Present
Value]])</f>
        <v>#N/A</v>
      </c>
      <c r="AM16" s="19" t="e">
        <f>IF(LessorBaseEx[[#This Row],[Multi-
Record2]]="Multi-Amount", "calc on import", LessorBaseEx[[#This Row],[Present
Value]])</f>
        <v>#DIV/0!</v>
      </c>
    </row>
    <row r="17" spans="1:40" x14ac:dyDescent="0.25">
      <c r="A17" s="121" t="s">
        <v>636</v>
      </c>
      <c r="B17" s="122"/>
      <c r="C17" s="122"/>
      <c r="D17" s="122"/>
      <c r="E17" s="122"/>
      <c r="F17" s="122"/>
      <c r="G17" s="122"/>
      <c r="H17" s="122"/>
      <c r="I17" s="122"/>
      <c r="J17" s="122"/>
      <c r="K17" s="122"/>
      <c r="L17" s="123"/>
      <c r="M17" s="123"/>
      <c r="N17" s="123"/>
      <c r="O17" s="123"/>
      <c r="P17" s="123"/>
      <c r="Q17" s="123"/>
      <c r="R17" s="122"/>
      <c r="S17" s="124"/>
      <c r="T17" s="124"/>
      <c r="U17" s="122"/>
      <c r="V17" s="122"/>
      <c r="W17" s="122"/>
      <c r="X17" s="122"/>
      <c r="Y17" t="str">
        <f>IF(LessorBaseEx[[#This Row],[Incl. Options
End Date]] = 0, IF(ROUND(ROUND((LessorBaseEx[[#This Row],[Initial Period
End Date]]-LessorBaseEx[[#This Row],[Initial Period
Start Date]])/365,2)*12,0)&lt;=12,"None","Transactional"), IF(ROUND(ROUND((LessorBaseEx[[#This Row],[Incl. Options
End Date]]-LessorBaseEx[[#This Row],[Initial Period
Start Date]])/365,2)*12,0)&lt;=12,"None","Transactional"))</f>
        <v>None</v>
      </c>
      <c r="Z17">
        <f>LessorBaseEx[[#This Row],[ProvisionType]]</f>
        <v>0</v>
      </c>
      <c r="AB17" s="17">
        <f>IF(LessorBaseEx[[#This Row],[Incl. Options
End Date]]&gt;0,LessorBaseEx[[#This Row],[Incl. Options
End Date]],LessorBaseEx[[#This Row],[Initial Period
End Date]])</f>
        <v>0</v>
      </c>
      <c r="AI17" t="e" cm="1">
        <f t="array" ref="AI17">ROUND(ROUND((LessorBaseEx[[#This Row],[Payment
EndDate]]-LessorBaseEx[[#This Row],[Payment
StartDate]])/365,2)*_xlfn.IFS(LessorBaseEx[[#This Row],[Payment
Frequency]]="MO",12,LessorBaseEx[[#This Row],[Payment
Frequency]]="QT",4,LessorBaseEx[[#This Row],[Payment
Frequency]]="SA",2,LessorBaseEx[[#This Row],[Payment
Frequency]]="AN",1),0)</f>
        <v>#N/A</v>
      </c>
      <c r="AJ17" s="19" t="e">
        <f>ROUND(LessorBaseEx[[#This Row],[Payment
Amount]]*LessorBaseEx[[#This Row],[Number of
 Payments]],2)</f>
        <v>#N/A</v>
      </c>
      <c r="AK17" s="19" t="e">
        <f>IF(LessorBaseEx[[#This Row],[Multi-
Record2]]="Multi-Amount", "calc on import", ROUND(PV(LessorBaseEx[[#This Row],[Annual
Rate]]/IF(LessorBaseEx[[#This Row],[Payment
Frequency]] = "MO",12,IF(LessorBaseEx[[#This Row],[Payment
Frequency]] = "QT",4,IF(LessorBaseEx[[#This Row],[Payment
Frequency]] = "SA",2,IF(LessorBaseEx[[#This Row],[Payment
Frequency]] = "AN",1,0)))),LessorBaseEx[[#This Row],[Number of
 Payments]],LessorBaseEx[[#This Row],[Payment
Amount]],,IF(LessorBaseEx[[#This Row],[Payment
Timing]]="Advance",1,IF(LessorBaseEx[[#This Row],[Payment
Timing]]="Arrears",0,"x")))*-1,2))</f>
        <v>#DIV/0!</v>
      </c>
      <c r="AL17" s="19" t="e">
        <f>IF(LessorBaseEx[[#This Row],[Multi-
Record2]]="Multi-Amount", "calc on import",LessorBaseEx[[#This Row],[Total Amount
of Payments]]-LessorBaseEx[[#This Row],[Present
Value]])</f>
        <v>#N/A</v>
      </c>
      <c r="AM17" s="19" t="e">
        <f>IF(LessorBaseEx[[#This Row],[Multi-
Record2]]="Multi-Amount", "calc on import", LessorBaseEx[[#This Row],[Present
Value]])</f>
        <v>#DIV/0!</v>
      </c>
    </row>
    <row r="18" spans="1:40" x14ac:dyDescent="0.25">
      <c r="A18" t="s">
        <v>452</v>
      </c>
      <c r="B18">
        <f>'Agency Cover'!$B$3</f>
        <v>0</v>
      </c>
      <c r="C18" t="s">
        <v>637</v>
      </c>
      <c r="D18" t="s">
        <v>523</v>
      </c>
      <c r="E18">
        <f>COUNTIF(LessorBaseEx[AgreementCode],LessorBaseEx[[#This Row],[AgreementCode]])</f>
        <v>3</v>
      </c>
      <c r="F18" t="s">
        <v>638</v>
      </c>
      <c r="G18">
        <f>COUNTIF(LessorBaseEx[AgreementTitle],LessorBaseEx[[#This Row],[AgreementTitle]])</f>
        <v>3</v>
      </c>
      <c r="I18" t="s">
        <v>270</v>
      </c>
      <c r="J18" t="s">
        <v>3</v>
      </c>
      <c r="K18" t="s">
        <v>639</v>
      </c>
      <c r="L18" s="17">
        <v>43678</v>
      </c>
      <c r="M18" s="17">
        <v>46234</v>
      </c>
      <c r="R18" s="17"/>
      <c r="S18" s="3">
        <f>LEN(LessorBaseEx[[#This Row],[Comments]])</f>
        <v>0</v>
      </c>
      <c r="T18" s="3" t="str">
        <f>LessorBaseEx[[#This Row],[Multi-
Record]]</f>
        <v>Multi-Amount</v>
      </c>
      <c r="U18" t="str">
        <f>LessorBaseEx[[#This Row],[AgreementCode]]</f>
        <v>000-2020-012</v>
      </c>
      <c r="V18" t="str">
        <f>LEFT(LessorBaseEx[[#This Row],[AgreementTitle]],50)</f>
        <v>000-2020 - Maintenance Facility - OKC West - PO 24</v>
      </c>
      <c r="W18" t="str">
        <f>LessorBaseEx[[#This Row],[AgreementType]]</f>
        <v>Buildings</v>
      </c>
      <c r="Y18" t="str">
        <f>IF(LessorBaseEx[[#This Row],[Incl. Options
End Date]] = 0, IF(ROUND(ROUND((LessorBaseEx[[#This Row],[Initial Period
End Date]]-LessorBaseEx[[#This Row],[Initial Period
Start Date]])/365,2)*12,0)&lt;=12,"None","Transactional"), IF(ROUND(ROUND((LessorBaseEx[[#This Row],[Incl. Options
End Date]]-LessorBaseEx[[#This Row],[Initial Period
Start Date]])/365,2)*12,0)&lt;=12,"None","Transactional"))</f>
        <v>Transactional</v>
      </c>
      <c r="Z18" t="str">
        <f>LessorBaseEx[[#This Row],[ProvisionType]]</f>
        <v>Buildings</v>
      </c>
      <c r="AA18" s="17">
        <v>44013</v>
      </c>
      <c r="AB18" s="17">
        <f>IF(LessorBaseEx[[#This Row],[Incl. Options
End Date]]&gt;0,LessorBaseEx[[#This Row],[Incl. Options
End Date]],LessorBaseEx[[#This Row],[Initial Period
End Date]])</f>
        <v>46234</v>
      </c>
      <c r="AC18" s="19">
        <v>45000</v>
      </c>
      <c r="AD18" t="s">
        <v>318</v>
      </c>
      <c r="AE18" t="s">
        <v>316</v>
      </c>
      <c r="AF18" s="20">
        <v>3.2500000000000001E-2</v>
      </c>
      <c r="AG18" s="17">
        <v>44013</v>
      </c>
      <c r="AH18" s="17">
        <v>45504</v>
      </c>
      <c r="AI18" cm="1">
        <f t="array" ref="AI18">ROUND(ROUND((LessorBaseEx[[#This Row],[Payment
EndDate]]-LessorBaseEx[[#This Row],[Payment
StartDate]])/365,2)*_xlfn.IFS(LessorBaseEx[[#This Row],[Payment
Frequency]]="MO",12,LessorBaseEx[[#This Row],[Payment
Frequency]]="QT",4,LessorBaseEx[[#This Row],[Payment
Frequency]]="SA",2,LessorBaseEx[[#This Row],[Payment
Frequency]]="AN",1),0)</f>
        <v>4</v>
      </c>
      <c r="AJ18" s="19">
        <f>ROUND(LessorBaseEx[[#This Row],[Payment
Amount]]*LessorBaseEx[[#This Row],[Number of
 Payments]],2)</f>
        <v>180000</v>
      </c>
      <c r="AK18" s="19" t="str">
        <f>IF(LessorBaseEx[[#This Row],[Multi-
Record2]]="Multi-Amount", "calc on import", ROUND(PV(LessorBaseEx[[#This Row],[Annual
Rate]]/IF(LessorBaseEx[[#This Row],[Payment
Frequency]] = "MO",12,IF(LessorBaseEx[[#This Row],[Payment
Frequency]] = "QT",4,IF(LessorBaseEx[[#This Row],[Payment
Frequency]] = "SA",2,IF(LessorBaseEx[[#This Row],[Payment
Frequency]] = "AN",1,0)))),LessorBaseEx[[#This Row],[Number of
 Payments]],LessorBaseEx[[#This Row],[Payment
Amount]],,IF(LessorBaseEx[[#This Row],[Payment
Timing]]="Advance",1,IF(LessorBaseEx[[#This Row],[Payment
Timing]]="Arrears",0,"x")))*-1,2))</f>
        <v>calc on import</v>
      </c>
      <c r="AL18" s="19" t="str">
        <f>IF(LessorBaseEx[[#This Row],[Multi-
Record2]]="Multi-Amount", "calc on import",LessorBaseEx[[#This Row],[Total Amount
of Payments]]-LessorBaseEx[[#This Row],[Present
Value]])</f>
        <v>calc on import</v>
      </c>
      <c r="AM18" s="19" t="str">
        <f>IF(LessorBaseEx[[#This Row],[Multi-
Record2]]="Multi-Amount", "calc on import", LessorBaseEx[[#This Row],[Present
Value]])</f>
        <v>calc on import</v>
      </c>
      <c r="AN18" t="s">
        <v>295</v>
      </c>
    </row>
    <row r="19" spans="1:40" x14ac:dyDescent="0.25">
      <c r="A19" t="s">
        <v>452</v>
      </c>
      <c r="B19">
        <f>'Agency Cover'!$B$3</f>
        <v>0</v>
      </c>
      <c r="C19" t="s">
        <v>637</v>
      </c>
      <c r="D19" t="s">
        <v>523</v>
      </c>
      <c r="E19">
        <f>COUNTIF(LessorBaseEx[AgreementCode],LessorBaseEx[[#This Row],[AgreementCode]])</f>
        <v>3</v>
      </c>
      <c r="F19" t="s">
        <v>638</v>
      </c>
      <c r="G19">
        <f>COUNTIF(LessorBaseEx[AgreementTitle],LessorBaseEx[[#This Row],[AgreementTitle]])</f>
        <v>3</v>
      </c>
      <c r="I19" t="s">
        <v>270</v>
      </c>
      <c r="J19" t="s">
        <v>3</v>
      </c>
      <c r="K19" t="s">
        <v>639</v>
      </c>
      <c r="L19" s="17">
        <v>43678</v>
      </c>
      <c r="M19" s="17">
        <v>46234</v>
      </c>
      <c r="R19" s="17"/>
      <c r="S19" s="3">
        <f>LEN(LessorBaseEx[[#This Row],[Comments]])</f>
        <v>0</v>
      </c>
      <c r="T19" s="3" t="str">
        <f>LessorBaseEx[[#This Row],[Multi-
Record]]</f>
        <v>Multi-Amount</v>
      </c>
      <c r="U19" t="str">
        <f>LessorBaseEx[[#This Row],[AgreementCode]]</f>
        <v>000-2020-012</v>
      </c>
      <c r="V19" t="str">
        <f>LEFT(LessorBaseEx[[#This Row],[AgreementTitle]],50)</f>
        <v>000-2020 - Maintenance Facility - OKC West - PO 24</v>
      </c>
      <c r="W19" t="str">
        <f>LessorBaseEx[[#This Row],[AgreementType]]</f>
        <v>Buildings</v>
      </c>
      <c r="Y19" t="str">
        <f>IF(LessorBaseEx[[#This Row],[Incl. Options
End Date]] = 0, IF(ROUND(ROUND((LessorBaseEx[[#This Row],[Initial Period
End Date]]-LessorBaseEx[[#This Row],[Initial Period
Start Date]])/365,2)*12,0)&lt;=12,"None","Transactional"), IF(ROUND(ROUND((LessorBaseEx[[#This Row],[Incl. Options
End Date]]-LessorBaseEx[[#This Row],[Initial Period
Start Date]])/365,2)*12,0)&lt;=12,"None","Transactional"))</f>
        <v>Transactional</v>
      </c>
      <c r="Z19" t="str">
        <f>LessorBaseEx[[#This Row],[ProvisionType]]</f>
        <v>Buildings</v>
      </c>
      <c r="AA19" s="17">
        <v>44013</v>
      </c>
      <c r="AB19" s="17">
        <f>IF(LessorBaseEx[[#This Row],[Incl. Options
End Date]]&gt;0,LessorBaseEx[[#This Row],[Incl. Options
End Date]],LessorBaseEx[[#This Row],[Initial Period
End Date]])</f>
        <v>46234</v>
      </c>
      <c r="AC19" s="19">
        <v>50000</v>
      </c>
      <c r="AD19" t="s">
        <v>318</v>
      </c>
      <c r="AE19" t="s">
        <v>316</v>
      </c>
      <c r="AF19" s="20">
        <v>3.2500000000000001E-2</v>
      </c>
      <c r="AG19" s="17">
        <v>45505</v>
      </c>
      <c r="AH19" s="17">
        <v>45869</v>
      </c>
      <c r="AI19" cm="1">
        <f t="array" ref="AI19">ROUND(ROUND((LessorBaseEx[[#This Row],[Payment
EndDate]]-LessorBaseEx[[#This Row],[Payment
StartDate]])/365,2)*_xlfn.IFS(LessorBaseEx[[#This Row],[Payment
Frequency]]="MO",12,LessorBaseEx[[#This Row],[Payment
Frequency]]="QT",4,LessorBaseEx[[#This Row],[Payment
Frequency]]="SA",2,LessorBaseEx[[#This Row],[Payment
Frequency]]="AN",1),0)</f>
        <v>1</v>
      </c>
      <c r="AJ19" s="19">
        <f>ROUND(LessorBaseEx[[#This Row],[Payment
Amount]]*LessorBaseEx[[#This Row],[Number of
 Payments]],2)</f>
        <v>50000</v>
      </c>
      <c r="AK19" s="19" t="str">
        <f>IF(LessorBaseEx[[#This Row],[Multi-
Record2]]="Multi-Amount", "calc on import", ROUND(PV(LessorBaseEx[[#This Row],[Annual
Rate]]/IF(LessorBaseEx[[#This Row],[Payment
Frequency]] = "MO",12,IF(LessorBaseEx[[#This Row],[Payment
Frequency]] = "QT",4,IF(LessorBaseEx[[#This Row],[Payment
Frequency]] = "SA",2,IF(LessorBaseEx[[#This Row],[Payment
Frequency]] = "AN",1,0)))),LessorBaseEx[[#This Row],[Number of
 Payments]],LessorBaseEx[[#This Row],[Payment
Amount]],,IF(LessorBaseEx[[#This Row],[Payment
Timing]]="Advance",1,IF(LessorBaseEx[[#This Row],[Payment
Timing]]="Arrears",0,"x")))*-1,2))</f>
        <v>calc on import</v>
      </c>
      <c r="AL19" s="19" t="str">
        <f>IF(LessorBaseEx[[#This Row],[Multi-
Record2]]="Multi-Amount", "calc on import",LessorBaseEx[[#This Row],[Total Amount
of Payments]]-LessorBaseEx[[#This Row],[Present
Value]])</f>
        <v>calc on import</v>
      </c>
      <c r="AM19" s="19" t="str">
        <f>IF(LessorBaseEx[[#This Row],[Multi-
Record2]]="Multi-Amount", "calc on import", LessorBaseEx[[#This Row],[Present
Value]])</f>
        <v>calc on import</v>
      </c>
      <c r="AN19" t="s">
        <v>295</v>
      </c>
    </row>
    <row r="20" spans="1:40" x14ac:dyDescent="0.25">
      <c r="A20" t="s">
        <v>452</v>
      </c>
      <c r="B20">
        <f>'Agency Cover'!$B$3</f>
        <v>0</v>
      </c>
      <c r="C20" t="s">
        <v>637</v>
      </c>
      <c r="D20" t="s">
        <v>523</v>
      </c>
      <c r="E20">
        <f>COUNTIF(LessorBaseEx[AgreementCode],LessorBaseEx[[#This Row],[AgreementCode]])</f>
        <v>3</v>
      </c>
      <c r="F20" t="s">
        <v>638</v>
      </c>
      <c r="G20">
        <f>COUNTIF(LessorBaseEx[AgreementTitle],LessorBaseEx[[#This Row],[AgreementTitle]])</f>
        <v>3</v>
      </c>
      <c r="I20" t="s">
        <v>270</v>
      </c>
      <c r="J20" t="s">
        <v>3</v>
      </c>
      <c r="K20" t="s">
        <v>639</v>
      </c>
      <c r="L20" s="17">
        <v>43678</v>
      </c>
      <c r="M20" s="17">
        <v>46234</v>
      </c>
      <c r="R20" s="17"/>
      <c r="S20" s="3">
        <f>LEN(LessorBaseEx[[#This Row],[Comments]])</f>
        <v>0</v>
      </c>
      <c r="T20" s="3" t="str">
        <f>LessorBaseEx[[#This Row],[Multi-
Record]]</f>
        <v>Multi-Amount</v>
      </c>
      <c r="U20" t="str">
        <f>LessorBaseEx[[#This Row],[AgreementCode]]</f>
        <v>000-2020-012</v>
      </c>
      <c r="V20" t="str">
        <f>LEFT(LessorBaseEx[[#This Row],[AgreementTitle]],50)</f>
        <v>000-2020 - Maintenance Facility - OKC West - PO 24</v>
      </c>
      <c r="W20" t="str">
        <f>LessorBaseEx[[#This Row],[AgreementType]]</f>
        <v>Buildings</v>
      </c>
      <c r="Y20" t="str">
        <f>IF(LessorBaseEx[[#This Row],[Incl. Options
End Date]] = 0, IF(ROUND(ROUND((LessorBaseEx[[#This Row],[Initial Period
End Date]]-LessorBaseEx[[#This Row],[Initial Period
Start Date]])/365,2)*12,0)&lt;=12,"None","Transactional"), IF(ROUND(ROUND((LessorBaseEx[[#This Row],[Incl. Options
End Date]]-LessorBaseEx[[#This Row],[Initial Period
Start Date]])/365,2)*12,0)&lt;=12,"None","Transactional"))</f>
        <v>Transactional</v>
      </c>
      <c r="Z20" t="str">
        <f>LessorBaseEx[[#This Row],[ProvisionType]]</f>
        <v>Buildings</v>
      </c>
      <c r="AA20" s="17">
        <v>44013</v>
      </c>
      <c r="AB20" s="17">
        <f>IF(LessorBaseEx[[#This Row],[Incl. Options
End Date]]&gt;0,LessorBaseEx[[#This Row],[Incl. Options
End Date]],LessorBaseEx[[#This Row],[Initial Period
End Date]])</f>
        <v>46234</v>
      </c>
      <c r="AC20" s="19">
        <v>55000</v>
      </c>
      <c r="AD20" t="s">
        <v>318</v>
      </c>
      <c r="AE20" t="s">
        <v>316</v>
      </c>
      <c r="AF20" s="20">
        <v>3.2500000000000001E-2</v>
      </c>
      <c r="AG20" s="17">
        <v>45870</v>
      </c>
      <c r="AH20" s="17">
        <v>46234</v>
      </c>
      <c r="AI20" cm="1">
        <f t="array" ref="AI20">ROUND(ROUND((LessorBaseEx[[#This Row],[Payment
EndDate]]-LessorBaseEx[[#This Row],[Payment
StartDate]])/365,2)*_xlfn.IFS(LessorBaseEx[[#This Row],[Payment
Frequency]]="MO",12,LessorBaseEx[[#This Row],[Payment
Frequency]]="QT",4,LessorBaseEx[[#This Row],[Payment
Frequency]]="SA",2,LessorBaseEx[[#This Row],[Payment
Frequency]]="AN",1),0)</f>
        <v>1</v>
      </c>
      <c r="AJ20" s="19">
        <f>ROUND(LessorBaseEx[[#This Row],[Payment
Amount]]*LessorBaseEx[[#This Row],[Number of
 Payments]],2)</f>
        <v>55000</v>
      </c>
      <c r="AK20" s="19" t="str">
        <f>IF(LessorBaseEx[[#This Row],[Multi-
Record2]]="Multi-Amount", "calc on import", ROUND(PV(LessorBaseEx[[#This Row],[Annual
Rate]]/IF(LessorBaseEx[[#This Row],[Payment
Frequency]] = "MO",12,IF(LessorBaseEx[[#This Row],[Payment
Frequency]] = "QT",4,IF(LessorBaseEx[[#This Row],[Payment
Frequency]] = "SA",2,IF(LessorBaseEx[[#This Row],[Payment
Frequency]] = "AN",1,0)))),LessorBaseEx[[#This Row],[Number of
 Payments]],LessorBaseEx[[#This Row],[Payment
Amount]],,IF(LessorBaseEx[[#This Row],[Payment
Timing]]="Advance",1,IF(LessorBaseEx[[#This Row],[Payment
Timing]]="Arrears",0,"x")))*-1,2))</f>
        <v>calc on import</v>
      </c>
      <c r="AL20" s="19" t="str">
        <f>IF(LessorBaseEx[[#This Row],[Multi-
Record2]]="Multi-Amount", "calc on import",LessorBaseEx[[#This Row],[Total Amount
of Payments]]-LessorBaseEx[[#This Row],[Present
Value]])</f>
        <v>calc on import</v>
      </c>
      <c r="AM20" s="19" t="str">
        <f>IF(LessorBaseEx[[#This Row],[Multi-
Record2]]="Multi-Amount", "calc on import", LessorBaseEx[[#This Row],[Present
Value]])</f>
        <v>calc on import</v>
      </c>
      <c r="AN20" t="s">
        <v>295</v>
      </c>
    </row>
    <row r="21" spans="1:40" x14ac:dyDescent="0.25">
      <c r="R21" s="17"/>
      <c r="Y21" t="str">
        <f>IF(LessorBaseEx[[#This Row],[Incl. Options
End Date]] = 0, IF(ROUND(ROUND((LessorBaseEx[[#This Row],[Initial Period
End Date]]-LessorBaseEx[[#This Row],[Initial Period
Start Date]])/365,2)*12,0)&lt;=12,"None","Transactional"), IF(ROUND(ROUND((LessorBaseEx[[#This Row],[Incl. Options
End Date]]-LessorBaseEx[[#This Row],[Initial Period
Start Date]])/365,2)*12,0)&lt;=12,"None","Transactional"))</f>
        <v>None</v>
      </c>
      <c r="Z21">
        <f>LessorBaseEx[[#This Row],[ProvisionType]]</f>
        <v>0</v>
      </c>
      <c r="AB21" s="17">
        <f>IF(LessorBaseEx[[#This Row],[Incl. Options
End Date]]&gt;0,LessorBaseEx[[#This Row],[Incl. Options
End Date]],LessorBaseEx[[#This Row],[Initial Period
End Date]])</f>
        <v>0</v>
      </c>
      <c r="AI21" t="e" cm="1">
        <f t="array" ref="AI21">ROUND(ROUND((LessorBaseEx[[#This Row],[Payment
EndDate]]-LessorBaseEx[[#This Row],[Payment
StartDate]])/365,2)*_xlfn.IFS(LessorBaseEx[[#This Row],[Payment
Frequency]]="MO",12,LessorBaseEx[[#This Row],[Payment
Frequency]]="QT",4,LessorBaseEx[[#This Row],[Payment
Frequency]]="SA",2,LessorBaseEx[[#This Row],[Payment
Frequency]]="AN",1),0)</f>
        <v>#N/A</v>
      </c>
      <c r="AJ21" s="19" t="e">
        <f>ROUND(LessorBaseEx[[#This Row],[Payment
Amount]]*LessorBaseEx[[#This Row],[Number of
 Payments]],2)</f>
        <v>#N/A</v>
      </c>
      <c r="AK21" s="19" t="e">
        <f>IF(LessorBaseEx[[#This Row],[Multi-
Record2]]="Multi-Amount", "calc on import", ROUND(PV(LessorBaseEx[[#This Row],[Annual
Rate]]/IF(LessorBaseEx[[#This Row],[Payment
Frequency]] = "MO",12,IF(LessorBaseEx[[#This Row],[Payment
Frequency]] = "QT",4,IF(LessorBaseEx[[#This Row],[Payment
Frequency]] = "SA",2,IF(LessorBaseEx[[#This Row],[Payment
Frequency]] = "AN",1,0)))),LessorBaseEx[[#This Row],[Number of
 Payments]],LessorBaseEx[[#This Row],[Payment
Amount]],,IF(LessorBaseEx[[#This Row],[Payment
Timing]]="Advance",1,IF(LessorBaseEx[[#This Row],[Payment
Timing]]="Arrears",0,"x")))*-1,2))</f>
        <v>#DIV/0!</v>
      </c>
      <c r="AL21" s="19" t="e">
        <f>IF(LessorBaseEx[[#This Row],[Multi-
Record2]]="Multi-Amount", "calc on import",LessorBaseEx[[#This Row],[Total Amount
of Payments]]-LessorBaseEx[[#This Row],[Present
Value]])</f>
        <v>#N/A</v>
      </c>
      <c r="AM21" s="19" t="e">
        <f>IF(LessorBaseEx[[#This Row],[Multi-
Record2]]="Multi-Amount", "calc on import", LessorBaseEx[[#This Row],[Present
Value]])</f>
        <v>#DIV/0!</v>
      </c>
    </row>
    <row r="22" spans="1:40" x14ac:dyDescent="0.25">
      <c r="A22" s="121" t="s">
        <v>640</v>
      </c>
      <c r="B22" s="122"/>
      <c r="C22" s="122"/>
      <c r="D22" s="122"/>
      <c r="E22" s="122"/>
      <c r="F22" s="122"/>
      <c r="G22" s="122"/>
      <c r="H22" s="122"/>
      <c r="I22" s="122"/>
      <c r="J22" s="122"/>
      <c r="K22" s="122"/>
      <c r="L22" s="123"/>
      <c r="M22" s="123"/>
      <c r="N22" s="123"/>
      <c r="O22" s="123"/>
      <c r="P22" s="123"/>
      <c r="Q22" s="123"/>
      <c r="R22" s="122"/>
      <c r="S22" s="124"/>
      <c r="T22" s="124"/>
      <c r="U22" s="122"/>
      <c r="V22" s="122"/>
      <c r="W22" s="122"/>
      <c r="X22" s="122"/>
      <c r="Y22" t="str">
        <f>IF(LessorBaseEx[[#This Row],[Incl. Options
End Date]] = 0, IF(ROUND(ROUND((LessorBaseEx[[#This Row],[Initial Period
End Date]]-LessorBaseEx[[#This Row],[Initial Period
Start Date]])/365,2)*12,0)&lt;=12,"None","Transactional"), IF(ROUND(ROUND((LessorBaseEx[[#This Row],[Incl. Options
End Date]]-LessorBaseEx[[#This Row],[Initial Period
Start Date]])/365,2)*12,0)&lt;=12,"None","Transactional"))</f>
        <v>None</v>
      </c>
      <c r="Z22">
        <f>LessorBaseEx[[#This Row],[ProvisionType]]</f>
        <v>0</v>
      </c>
      <c r="AB22" s="17">
        <f>IF(LessorBaseEx[[#This Row],[Incl. Options
End Date]]&gt;0,LessorBaseEx[[#This Row],[Incl. Options
End Date]],LessorBaseEx[[#This Row],[Initial Period
End Date]])</f>
        <v>0</v>
      </c>
      <c r="AI22" t="e" cm="1">
        <f t="array" ref="AI22">ROUND(ROUND((LessorBaseEx[[#This Row],[Payment
EndDate]]-LessorBaseEx[[#This Row],[Payment
StartDate]])/365,2)*_xlfn.IFS(LessorBaseEx[[#This Row],[Payment
Frequency]]="MO",12,LessorBaseEx[[#This Row],[Payment
Frequency]]="QT",4,LessorBaseEx[[#This Row],[Payment
Frequency]]="SA",2,LessorBaseEx[[#This Row],[Payment
Frequency]]="AN",1),0)</f>
        <v>#N/A</v>
      </c>
      <c r="AJ22" s="19" t="e">
        <f>ROUND(LessorBaseEx[[#This Row],[Payment
Amount]]*LessorBaseEx[[#This Row],[Number of
 Payments]],2)</f>
        <v>#N/A</v>
      </c>
      <c r="AK22" s="19" t="e">
        <f>IF(LessorBaseEx[[#This Row],[Multi-
Record2]]="Multi-Amount", "calc on import", ROUND(PV(LessorBaseEx[[#This Row],[Annual
Rate]]/IF(LessorBaseEx[[#This Row],[Payment
Frequency]] = "MO",12,IF(LessorBaseEx[[#This Row],[Payment
Frequency]] = "QT",4,IF(LessorBaseEx[[#This Row],[Payment
Frequency]] = "SA",2,IF(LessorBaseEx[[#This Row],[Payment
Frequency]] = "AN",1,0)))),LessorBaseEx[[#This Row],[Number of
 Payments]],LessorBaseEx[[#This Row],[Payment
Amount]],,IF(LessorBaseEx[[#This Row],[Payment
Timing]]="Advance",1,IF(LessorBaseEx[[#This Row],[Payment
Timing]]="Arrears",0,"x")))*-1,2))</f>
        <v>#DIV/0!</v>
      </c>
      <c r="AL22" s="19" t="e">
        <f>IF(LessorBaseEx[[#This Row],[Multi-
Record2]]="Multi-Amount", "calc on import",LessorBaseEx[[#This Row],[Total Amount
of Payments]]-LessorBaseEx[[#This Row],[Present
Value]])</f>
        <v>#N/A</v>
      </c>
      <c r="AM22" s="19" t="e">
        <f>IF(LessorBaseEx[[#This Row],[Multi-
Record2]]="Multi-Amount", "calc on import", LessorBaseEx[[#This Row],[Present
Value]])</f>
        <v>#DIV/0!</v>
      </c>
    </row>
    <row r="23" spans="1:40" x14ac:dyDescent="0.25">
      <c r="A23" t="s">
        <v>452</v>
      </c>
      <c r="B23">
        <f>'Agency Cover'!$B$3</f>
        <v>0</v>
      </c>
      <c r="C23" t="s">
        <v>641</v>
      </c>
      <c r="D23" t="s">
        <v>495</v>
      </c>
      <c r="E23">
        <f>COUNTIF(LessorBaseEx[AgreementCode],LessorBaseEx[[#This Row],[AgreementCode]])</f>
        <v>9</v>
      </c>
      <c r="F23" t="s">
        <v>496</v>
      </c>
      <c r="G23">
        <f>COUNTIF(LessorBaseEx[AgreementTitle],LessorBaseEx[[#This Row],[AgreementTitle]])</f>
        <v>9</v>
      </c>
      <c r="I23" t="s">
        <v>270</v>
      </c>
      <c r="J23" t="s">
        <v>3</v>
      </c>
      <c r="K23" t="s">
        <v>642</v>
      </c>
      <c r="L23" s="17">
        <v>44105</v>
      </c>
      <c r="M23" s="17">
        <v>45199</v>
      </c>
      <c r="P23" s="17">
        <v>45200</v>
      </c>
      <c r="Q23" s="17">
        <v>45565</v>
      </c>
      <c r="R23" s="17"/>
      <c r="S23" s="3">
        <f>LEN(LessorBaseEx[[#This Row],[Comments]])</f>
        <v>0</v>
      </c>
      <c r="T23" s="3" t="str">
        <f>LessorBaseEx[[#This Row],[Multi-
Record]]</f>
        <v>Multi-Provision</v>
      </c>
      <c r="U23" t="s">
        <v>499</v>
      </c>
      <c r="V23" t="s">
        <v>500</v>
      </c>
      <c r="W23" t="str">
        <f>LessorBaseEx[[#This Row],[AgreementType]]</f>
        <v>Buildings</v>
      </c>
      <c r="X23" t="s">
        <v>643</v>
      </c>
      <c r="Y23" t="str">
        <f>IF(LessorBaseEx[[#This Row],[Incl. Options
End Date]] = 0, IF(ROUND(ROUND((LessorBaseEx[[#This Row],[Initial Period
End Date]]-LessorBaseEx[[#This Row],[Initial Period
Start Date]])/365,2)*12,0)&lt;=12,"None","Transactional"), IF(ROUND(ROUND((LessorBaseEx[[#This Row],[Incl. Options
End Date]]-LessorBaseEx[[#This Row],[Initial Period
Start Date]])/365,2)*12,0)&lt;=12,"None","Transactional"))</f>
        <v>Transactional</v>
      </c>
      <c r="Z23" t="str">
        <f>LessorBaseEx[[#This Row],[ProvisionType]]</f>
        <v>Buildings</v>
      </c>
      <c r="AA23" s="17">
        <v>44105</v>
      </c>
      <c r="AB23" s="17">
        <f>IF(LessorBaseEx[[#This Row],[Incl. Options
End Date]]&gt;0,LessorBaseEx[[#This Row],[Incl. Options
End Date]],LessorBaseEx[[#This Row],[Initial Period
End Date]])</f>
        <v>45199</v>
      </c>
      <c r="AC23" s="19">
        <v>10000</v>
      </c>
      <c r="AD23" t="s">
        <v>317</v>
      </c>
      <c r="AE23" t="s">
        <v>316</v>
      </c>
      <c r="AF23" s="20">
        <v>2.2499999999999999E-2</v>
      </c>
      <c r="AG23" s="17">
        <v>44105</v>
      </c>
      <c r="AH23" s="17">
        <v>44469</v>
      </c>
      <c r="AI23" cm="1">
        <f t="array" ref="AI23">ROUND(ROUND((LessorBaseEx[[#This Row],[Payment
EndDate]]-LessorBaseEx[[#This Row],[Payment
StartDate]])/365,2)*_xlfn.IFS(LessorBaseEx[[#This Row],[Payment
Frequency]]="MO",12,LessorBaseEx[[#This Row],[Payment
Frequency]]="QT",4,LessorBaseEx[[#This Row],[Payment
Frequency]]="SA",2,LessorBaseEx[[#This Row],[Payment
Frequency]]="AN",1),0)</f>
        <v>12</v>
      </c>
      <c r="AJ23" s="19">
        <f>ROUND(LessorBaseEx[[#This Row],[Payment
Amount]]*LessorBaseEx[[#This Row],[Number of
 Payments]],2)</f>
        <v>120000</v>
      </c>
      <c r="AK23" s="19">
        <f>IF(LessorBaseEx[[#This Row],[Multi-
Record2]]="Multi-Amount", "calc on import", ROUND(PV(LessorBaseEx[[#This Row],[Annual
Rate]]/IF(LessorBaseEx[[#This Row],[Payment
Frequency]] = "MO",12,IF(LessorBaseEx[[#This Row],[Payment
Frequency]] = "QT",4,IF(LessorBaseEx[[#This Row],[Payment
Frequency]] = "SA",2,IF(LessorBaseEx[[#This Row],[Payment
Frequency]] = "AN",1,0)))),LessorBaseEx[[#This Row],[Number of
 Payments]],LessorBaseEx[[#This Row],[Payment
Amount]],,IF(LessorBaseEx[[#This Row],[Payment
Timing]]="Advance",1,IF(LessorBaseEx[[#This Row],[Payment
Timing]]="Arrears",0,"x")))*-1,2))</f>
        <v>118772.49</v>
      </c>
      <c r="AL23" s="19">
        <f>IF(LessorBaseEx[[#This Row],[Multi-
Record2]]="Multi-Amount", "calc on import",LessorBaseEx[[#This Row],[Total Amount
of Payments]]-LessorBaseEx[[#This Row],[Present
Value]])</f>
        <v>1227.5099999999948</v>
      </c>
      <c r="AM23" s="19">
        <f>IF(LessorBaseEx[[#This Row],[Multi-
Record2]]="Multi-Amount", "calc on import", LessorBaseEx[[#This Row],[Present
Value]])</f>
        <v>118772.49</v>
      </c>
      <c r="AN23" t="s">
        <v>295</v>
      </c>
    </row>
    <row r="24" spans="1:40" x14ac:dyDescent="0.25">
      <c r="A24" t="s">
        <v>452</v>
      </c>
      <c r="B24">
        <f>'Agency Cover'!$B$3</f>
        <v>0</v>
      </c>
      <c r="C24" t="s">
        <v>641</v>
      </c>
      <c r="D24" t="s">
        <v>523</v>
      </c>
      <c r="E24">
        <f>COUNTIF(LessorBaseEx[AgreementCode],LessorBaseEx[[#This Row],[AgreementCode]])</f>
        <v>9</v>
      </c>
      <c r="F24" t="s">
        <v>496</v>
      </c>
      <c r="G24">
        <f>COUNTIF(LessorBaseEx[AgreementTitle],LessorBaseEx[[#This Row],[AgreementTitle]])</f>
        <v>9</v>
      </c>
      <c r="I24" t="s">
        <v>270</v>
      </c>
      <c r="J24" t="s">
        <v>3</v>
      </c>
      <c r="K24" t="s">
        <v>642</v>
      </c>
      <c r="L24" s="17">
        <v>44105</v>
      </c>
      <c r="M24" s="17">
        <v>45199</v>
      </c>
      <c r="P24" s="17">
        <v>45200</v>
      </c>
      <c r="Q24" s="17">
        <v>45565</v>
      </c>
      <c r="R24" s="17"/>
      <c r="S24" s="3">
        <f>LEN(LessorBaseEx[[#This Row],[Comments]])</f>
        <v>0</v>
      </c>
      <c r="T24" s="3" t="str">
        <f>LessorBaseEx[[#This Row],[Multi-
Record]]</f>
        <v>Multi-Amount</v>
      </c>
      <c r="U24" t="s">
        <v>499</v>
      </c>
      <c r="V24" t="s">
        <v>500</v>
      </c>
      <c r="W24" t="str">
        <f>LessorBaseEx[[#This Row],[AgreementType]]</f>
        <v>Buildings</v>
      </c>
      <c r="X24" t="s">
        <v>643</v>
      </c>
      <c r="Y24" t="str">
        <f>IF(LessorBaseEx[[#This Row],[Incl. Options
End Date]] = 0, IF(ROUND(ROUND((LessorBaseEx[[#This Row],[Initial Period
End Date]]-LessorBaseEx[[#This Row],[Initial Period
Start Date]])/365,2)*12,0)&lt;=12,"None","Transactional"), IF(ROUND(ROUND((LessorBaseEx[[#This Row],[Incl. Options
End Date]]-LessorBaseEx[[#This Row],[Initial Period
Start Date]])/365,2)*12,0)&lt;=12,"None","Transactional"))</f>
        <v>Transactional</v>
      </c>
      <c r="Z24" t="str">
        <f>LessorBaseEx[[#This Row],[ProvisionType]]</f>
        <v>Buildings</v>
      </c>
      <c r="AA24" s="17">
        <v>44105</v>
      </c>
      <c r="AB24" s="17">
        <f>IF(LessorBaseEx[[#This Row],[Incl. Options
End Date]]&gt;0,LessorBaseEx[[#This Row],[Incl. Options
End Date]],LessorBaseEx[[#This Row],[Initial Period
End Date]])</f>
        <v>45199</v>
      </c>
      <c r="AC24" s="19">
        <v>10300</v>
      </c>
      <c r="AD24" t="s">
        <v>317</v>
      </c>
      <c r="AE24" t="s">
        <v>316</v>
      </c>
      <c r="AF24" s="20">
        <v>2.2499999999999999E-2</v>
      </c>
      <c r="AG24" s="17">
        <v>44470</v>
      </c>
      <c r="AH24" s="17">
        <v>44834</v>
      </c>
      <c r="AI24" cm="1">
        <f t="array" ref="AI24">ROUND(ROUND((LessorBaseEx[[#This Row],[Payment
EndDate]]-LessorBaseEx[[#This Row],[Payment
StartDate]])/365,2)*_xlfn.IFS(LessorBaseEx[[#This Row],[Payment
Frequency]]="MO",12,LessorBaseEx[[#This Row],[Payment
Frequency]]="QT",4,LessorBaseEx[[#This Row],[Payment
Frequency]]="SA",2,LessorBaseEx[[#This Row],[Payment
Frequency]]="AN",1),0)</f>
        <v>12</v>
      </c>
      <c r="AJ24" s="19">
        <f>ROUND(LessorBaseEx[[#This Row],[Payment
Amount]]*LessorBaseEx[[#This Row],[Number of
 Payments]],2)</f>
        <v>123600</v>
      </c>
      <c r="AK24" s="19" t="str">
        <f>IF(LessorBaseEx[[#This Row],[Multi-
Record2]]="Multi-Amount", "calc on import", ROUND(PV(LessorBaseEx[[#This Row],[Annual
Rate]]/IF(LessorBaseEx[[#This Row],[Payment
Frequency]] = "MO",12,IF(LessorBaseEx[[#This Row],[Payment
Frequency]] = "QT",4,IF(LessorBaseEx[[#This Row],[Payment
Frequency]] = "SA",2,IF(LessorBaseEx[[#This Row],[Payment
Frequency]] = "AN",1,0)))),LessorBaseEx[[#This Row],[Number of
 Payments]],LessorBaseEx[[#This Row],[Payment
Amount]],,IF(LessorBaseEx[[#This Row],[Payment
Timing]]="Advance",1,IF(LessorBaseEx[[#This Row],[Payment
Timing]]="Arrears",0,"x")))*-1,2))</f>
        <v>calc on import</v>
      </c>
      <c r="AL24" s="19" t="str">
        <f>IF(LessorBaseEx[[#This Row],[Multi-
Record2]]="Multi-Amount", "calc on import",LessorBaseEx[[#This Row],[Total Amount
of Payments]]-LessorBaseEx[[#This Row],[Present
Value]])</f>
        <v>calc on import</v>
      </c>
      <c r="AM24" s="19" t="str">
        <f>IF(LessorBaseEx[[#This Row],[Multi-
Record2]]="Multi-Amount", "calc on import", LessorBaseEx[[#This Row],[Present
Value]])</f>
        <v>calc on import</v>
      </c>
      <c r="AN24" t="s">
        <v>295</v>
      </c>
    </row>
    <row r="25" spans="1:40" x14ac:dyDescent="0.25">
      <c r="A25" t="s">
        <v>452</v>
      </c>
      <c r="B25">
        <f>'Agency Cover'!$B$3</f>
        <v>0</v>
      </c>
      <c r="C25" t="s">
        <v>641</v>
      </c>
      <c r="D25" t="s">
        <v>523</v>
      </c>
      <c r="E25">
        <f>COUNTIF(LessorBaseEx[AgreementCode],LessorBaseEx[[#This Row],[AgreementCode]])</f>
        <v>9</v>
      </c>
      <c r="F25" t="s">
        <v>496</v>
      </c>
      <c r="G25">
        <f>COUNTIF(LessorBaseEx[AgreementTitle],LessorBaseEx[[#This Row],[AgreementTitle]])</f>
        <v>9</v>
      </c>
      <c r="I25" t="s">
        <v>270</v>
      </c>
      <c r="J25" t="s">
        <v>3</v>
      </c>
      <c r="K25" t="s">
        <v>642</v>
      </c>
      <c r="L25" s="17">
        <v>44105</v>
      </c>
      <c r="M25" s="17">
        <v>45199</v>
      </c>
      <c r="P25" s="17">
        <v>45200</v>
      </c>
      <c r="Q25" s="17">
        <v>45565</v>
      </c>
      <c r="R25" s="17"/>
      <c r="S25" s="3">
        <f>LEN(LessorBaseEx[[#This Row],[Comments]])</f>
        <v>0</v>
      </c>
      <c r="T25" s="3" t="str">
        <f>LessorBaseEx[[#This Row],[Multi-
Record]]</f>
        <v>Multi-Amount</v>
      </c>
      <c r="U25" t="s">
        <v>499</v>
      </c>
      <c r="V25" t="s">
        <v>500</v>
      </c>
      <c r="W25" t="str">
        <f>LessorBaseEx[[#This Row],[AgreementType]]</f>
        <v>Buildings</v>
      </c>
      <c r="X25" t="s">
        <v>643</v>
      </c>
      <c r="Y25" t="str">
        <f>IF(LessorBaseEx[[#This Row],[Incl. Options
End Date]] = 0, IF(ROUND(ROUND((LessorBaseEx[[#This Row],[Initial Period
End Date]]-LessorBaseEx[[#This Row],[Initial Period
Start Date]])/365,2)*12,0)&lt;=12,"None","Transactional"), IF(ROUND(ROUND((LessorBaseEx[[#This Row],[Incl. Options
End Date]]-LessorBaseEx[[#This Row],[Initial Period
Start Date]])/365,2)*12,0)&lt;=12,"None","Transactional"))</f>
        <v>Transactional</v>
      </c>
      <c r="Z25" t="str">
        <f>LessorBaseEx[[#This Row],[ProvisionType]]</f>
        <v>Buildings</v>
      </c>
      <c r="AA25" s="17">
        <v>44105</v>
      </c>
      <c r="AB25" s="17">
        <f>IF(LessorBaseEx[[#This Row],[Incl. Options
End Date]]&gt;0,LessorBaseEx[[#This Row],[Incl. Options
End Date]],LessorBaseEx[[#This Row],[Initial Period
End Date]])</f>
        <v>45199</v>
      </c>
      <c r="AC25" s="19">
        <v>10609</v>
      </c>
      <c r="AD25" t="s">
        <v>317</v>
      </c>
      <c r="AE25" t="s">
        <v>316</v>
      </c>
      <c r="AF25" s="20">
        <v>2.2499999999999999E-2</v>
      </c>
      <c r="AG25" s="17">
        <v>44835</v>
      </c>
      <c r="AH25" s="17">
        <v>45199</v>
      </c>
      <c r="AI25" cm="1">
        <f t="array" ref="AI25">ROUND(ROUND((LessorBaseEx[[#This Row],[Payment
EndDate]]-LessorBaseEx[[#This Row],[Payment
StartDate]])/365,2)*_xlfn.IFS(LessorBaseEx[[#This Row],[Payment
Frequency]]="MO",12,LessorBaseEx[[#This Row],[Payment
Frequency]]="QT",4,LessorBaseEx[[#This Row],[Payment
Frequency]]="SA",2,LessorBaseEx[[#This Row],[Payment
Frequency]]="AN",1),0)</f>
        <v>12</v>
      </c>
      <c r="AJ25" s="19">
        <f>ROUND(LessorBaseEx[[#This Row],[Payment
Amount]]*LessorBaseEx[[#This Row],[Number of
 Payments]],2)</f>
        <v>127308</v>
      </c>
      <c r="AK25" s="19" t="str">
        <f>IF(LessorBaseEx[[#This Row],[Multi-
Record2]]="Multi-Amount", "calc on import", ROUND(PV(LessorBaseEx[[#This Row],[Annual
Rate]]/IF(LessorBaseEx[[#This Row],[Payment
Frequency]] = "MO",12,IF(LessorBaseEx[[#This Row],[Payment
Frequency]] = "QT",4,IF(LessorBaseEx[[#This Row],[Payment
Frequency]] = "SA",2,IF(LessorBaseEx[[#This Row],[Payment
Frequency]] = "AN",1,0)))),LessorBaseEx[[#This Row],[Number of
 Payments]],LessorBaseEx[[#This Row],[Payment
Amount]],,IF(LessorBaseEx[[#This Row],[Payment
Timing]]="Advance",1,IF(LessorBaseEx[[#This Row],[Payment
Timing]]="Arrears",0,"x")))*-1,2))</f>
        <v>calc on import</v>
      </c>
      <c r="AL25" s="19" t="str">
        <f>IF(LessorBaseEx[[#This Row],[Multi-
Record2]]="Multi-Amount", "calc on import",LessorBaseEx[[#This Row],[Total Amount
of Payments]]-LessorBaseEx[[#This Row],[Present
Value]])</f>
        <v>calc on import</v>
      </c>
      <c r="AM25" s="19" t="str">
        <f>IF(LessorBaseEx[[#This Row],[Multi-
Record2]]="Multi-Amount", "calc on import", LessorBaseEx[[#This Row],[Present
Value]])</f>
        <v>calc on import</v>
      </c>
      <c r="AN25" t="s">
        <v>295</v>
      </c>
    </row>
    <row r="26" spans="1:40" x14ac:dyDescent="0.25">
      <c r="A26" t="s">
        <v>452</v>
      </c>
      <c r="B26">
        <f>'Agency Cover'!$B$3</f>
        <v>0</v>
      </c>
      <c r="C26" t="s">
        <v>641</v>
      </c>
      <c r="D26" t="s">
        <v>495</v>
      </c>
      <c r="E26">
        <f>COUNTIF(LessorBaseEx[AgreementCode],LessorBaseEx[[#This Row],[AgreementCode]])</f>
        <v>9</v>
      </c>
      <c r="F26" t="s">
        <v>496</v>
      </c>
      <c r="G26">
        <f>COUNTIF(LessorBaseEx[AgreementTitle],LessorBaseEx[[#This Row],[AgreementTitle]])</f>
        <v>9</v>
      </c>
      <c r="I26" t="s">
        <v>270</v>
      </c>
      <c r="J26" t="s">
        <v>3</v>
      </c>
      <c r="K26" t="s">
        <v>642</v>
      </c>
      <c r="L26" s="17">
        <v>44105</v>
      </c>
      <c r="M26" s="17">
        <v>45199</v>
      </c>
      <c r="P26" s="17">
        <v>45200</v>
      </c>
      <c r="Q26" s="17">
        <v>45565</v>
      </c>
      <c r="R26" s="17"/>
      <c r="S26" s="3">
        <f>LEN(LessorBaseEx[[#This Row],[Comments]])</f>
        <v>0</v>
      </c>
      <c r="T26" s="3" t="str">
        <f>LessorBaseEx[[#This Row],[Multi-
Record]]</f>
        <v>Multi-Provision</v>
      </c>
      <c r="U26" t="s">
        <v>266</v>
      </c>
      <c r="V26" t="s">
        <v>497</v>
      </c>
      <c r="W26" t="s">
        <v>266</v>
      </c>
      <c r="X26" t="s">
        <v>644</v>
      </c>
      <c r="Y26" t="str">
        <f>IF(LessorBaseEx[[#This Row],[Incl. Options
End Date]] = 0, IF(ROUND(ROUND((LessorBaseEx[[#This Row],[Initial Period
End Date]]-LessorBaseEx[[#This Row],[Initial Period
Start Date]])/365,2)*12,0)&lt;=12,"None","Transactional"), IF(ROUND(ROUND((LessorBaseEx[[#This Row],[Incl. Options
End Date]]-LessorBaseEx[[#This Row],[Initial Period
Start Date]])/365,2)*12,0)&lt;=12,"None","Transactional"))</f>
        <v>Transactional</v>
      </c>
      <c r="Z26" t="str">
        <f>LessorBaseEx[[#This Row],[ProvisionType]]</f>
        <v>Land</v>
      </c>
      <c r="AA26" s="17">
        <v>44105</v>
      </c>
      <c r="AB26" s="17">
        <f>IF(LessorBaseEx[[#This Row],[Incl. Options
End Date]]&gt;0,LessorBaseEx[[#This Row],[Incl. Options
End Date]],LessorBaseEx[[#This Row],[Initial Period
End Date]])</f>
        <v>45199</v>
      </c>
      <c r="AC26" s="19">
        <v>5000</v>
      </c>
      <c r="AD26" t="s">
        <v>317</v>
      </c>
      <c r="AE26" t="s">
        <v>316</v>
      </c>
      <c r="AF26" s="20">
        <v>2.75E-2</v>
      </c>
      <c r="AG26" s="17">
        <v>44105</v>
      </c>
      <c r="AH26" s="17">
        <v>44469</v>
      </c>
      <c r="AI26" cm="1">
        <f t="array" ref="AI26">ROUND(ROUND((LessorBaseEx[[#This Row],[Payment
EndDate]]-LessorBaseEx[[#This Row],[Payment
StartDate]])/365,2)*_xlfn.IFS(LessorBaseEx[[#This Row],[Payment
Frequency]]="MO",12,LessorBaseEx[[#This Row],[Payment
Frequency]]="QT",4,LessorBaseEx[[#This Row],[Payment
Frequency]]="SA",2,LessorBaseEx[[#This Row],[Payment
Frequency]]="AN",1),0)</f>
        <v>12</v>
      </c>
      <c r="AJ26" s="19">
        <f>ROUND(LessorBaseEx[[#This Row],[Payment
Amount]]*LessorBaseEx[[#This Row],[Number of
 Payments]],2)</f>
        <v>60000</v>
      </c>
      <c r="AK26" s="19">
        <f>IF(LessorBaseEx[[#This Row],[Multi-
Record2]]="Multi-Amount", "calc on import", ROUND(PV(LessorBaseEx[[#This Row],[Annual
Rate]]/IF(LessorBaseEx[[#This Row],[Payment
Frequency]] = "MO",12,IF(LessorBaseEx[[#This Row],[Payment
Frequency]] = "QT",4,IF(LessorBaseEx[[#This Row],[Payment
Frequency]] = "SA",2,IF(LessorBaseEx[[#This Row],[Payment
Frequency]] = "AN",1,0)))),LessorBaseEx[[#This Row],[Number of
 Payments]],LessorBaseEx[[#This Row],[Payment
Amount]],,IF(LessorBaseEx[[#This Row],[Payment
Timing]]="Advance",1,IF(LessorBaseEx[[#This Row],[Payment
Timing]]="Arrears",0,"x")))*-1,2))</f>
        <v>59251.199999999997</v>
      </c>
      <c r="AL26" s="19">
        <f>IF(LessorBaseEx[[#This Row],[Multi-
Record2]]="Multi-Amount", "calc on import",LessorBaseEx[[#This Row],[Total Amount
of Payments]]-LessorBaseEx[[#This Row],[Present
Value]])</f>
        <v>748.80000000000291</v>
      </c>
      <c r="AM26" s="19">
        <f>IF(LessorBaseEx[[#This Row],[Multi-
Record2]]="Multi-Amount", "calc on import", LessorBaseEx[[#This Row],[Present
Value]])</f>
        <v>59251.199999999997</v>
      </c>
      <c r="AN26" t="s">
        <v>295</v>
      </c>
    </row>
    <row r="27" spans="1:40" x14ac:dyDescent="0.25">
      <c r="A27" t="s">
        <v>452</v>
      </c>
      <c r="B27">
        <f>'Agency Cover'!$B$3</f>
        <v>0</v>
      </c>
      <c r="C27" t="s">
        <v>641</v>
      </c>
      <c r="D27" t="s">
        <v>523</v>
      </c>
      <c r="E27">
        <f>COUNTIF(LessorBaseEx[AgreementCode],LessorBaseEx[[#This Row],[AgreementCode]])</f>
        <v>9</v>
      </c>
      <c r="F27" t="s">
        <v>496</v>
      </c>
      <c r="G27">
        <f>COUNTIF(LessorBaseEx[AgreementTitle],LessorBaseEx[[#This Row],[AgreementTitle]])</f>
        <v>9</v>
      </c>
      <c r="I27" t="s">
        <v>270</v>
      </c>
      <c r="J27" t="s">
        <v>3</v>
      </c>
      <c r="K27" t="s">
        <v>642</v>
      </c>
      <c r="L27" s="17">
        <v>44105</v>
      </c>
      <c r="M27" s="17">
        <v>45199</v>
      </c>
      <c r="P27" s="17">
        <v>45200</v>
      </c>
      <c r="Q27" s="17">
        <v>45565</v>
      </c>
      <c r="R27" s="17"/>
      <c r="S27" s="3">
        <f>LEN(LessorBaseEx[[#This Row],[Comments]])</f>
        <v>0</v>
      </c>
      <c r="T27" s="3" t="str">
        <f>LessorBaseEx[[#This Row],[Multi-
Record]]</f>
        <v>Multi-Amount</v>
      </c>
      <c r="U27" t="s">
        <v>266</v>
      </c>
      <c r="V27" t="s">
        <v>497</v>
      </c>
      <c r="W27" t="s">
        <v>266</v>
      </c>
      <c r="X27" t="s">
        <v>644</v>
      </c>
      <c r="Y27" t="str">
        <f>IF(LessorBaseEx[[#This Row],[Incl. Options
End Date]] = 0, IF(ROUND(ROUND((LessorBaseEx[[#This Row],[Initial Period
End Date]]-LessorBaseEx[[#This Row],[Initial Period
Start Date]])/365,2)*12,0)&lt;=12,"None","Transactional"), IF(ROUND(ROUND((LessorBaseEx[[#This Row],[Incl. Options
End Date]]-LessorBaseEx[[#This Row],[Initial Period
Start Date]])/365,2)*12,0)&lt;=12,"None","Transactional"))</f>
        <v>Transactional</v>
      </c>
      <c r="Z27" t="str">
        <f>LessorBaseEx[[#This Row],[ProvisionType]]</f>
        <v>Land</v>
      </c>
      <c r="AA27" s="17">
        <v>44105</v>
      </c>
      <c r="AB27" s="17">
        <f>IF(LessorBaseEx[[#This Row],[Incl. Options
End Date]]&gt;0,LessorBaseEx[[#This Row],[Incl. Options
End Date]],LessorBaseEx[[#This Row],[Initial Period
End Date]])</f>
        <v>45199</v>
      </c>
      <c r="AC27" s="19">
        <v>6000</v>
      </c>
      <c r="AD27" t="s">
        <v>317</v>
      </c>
      <c r="AE27" t="s">
        <v>316</v>
      </c>
      <c r="AF27" s="20">
        <v>2.75E-2</v>
      </c>
      <c r="AG27" s="17">
        <v>44470</v>
      </c>
      <c r="AH27" s="17">
        <v>44834</v>
      </c>
      <c r="AI27" cm="1">
        <f t="array" ref="AI27">ROUND(ROUND((LessorBaseEx[[#This Row],[Payment
EndDate]]-LessorBaseEx[[#This Row],[Payment
StartDate]])/365,2)*_xlfn.IFS(LessorBaseEx[[#This Row],[Payment
Frequency]]="MO",12,LessorBaseEx[[#This Row],[Payment
Frequency]]="QT",4,LessorBaseEx[[#This Row],[Payment
Frequency]]="SA",2,LessorBaseEx[[#This Row],[Payment
Frequency]]="AN",1),0)</f>
        <v>12</v>
      </c>
      <c r="AJ27" s="19">
        <f>ROUND(LessorBaseEx[[#This Row],[Payment
Amount]]*LessorBaseEx[[#This Row],[Number of
 Payments]],2)</f>
        <v>72000</v>
      </c>
      <c r="AK27" s="19" t="str">
        <f>IF(LessorBaseEx[[#This Row],[Multi-
Record2]]="Multi-Amount", "calc on import", ROUND(PV(LessorBaseEx[[#This Row],[Annual
Rate]]/IF(LessorBaseEx[[#This Row],[Payment
Frequency]] = "MO",12,IF(LessorBaseEx[[#This Row],[Payment
Frequency]] = "QT",4,IF(LessorBaseEx[[#This Row],[Payment
Frequency]] = "SA",2,IF(LessorBaseEx[[#This Row],[Payment
Frequency]] = "AN",1,0)))),LessorBaseEx[[#This Row],[Number of
 Payments]],LessorBaseEx[[#This Row],[Payment
Amount]],,IF(LessorBaseEx[[#This Row],[Payment
Timing]]="Advance",1,IF(LessorBaseEx[[#This Row],[Payment
Timing]]="Arrears",0,"x")))*-1,2))</f>
        <v>calc on import</v>
      </c>
      <c r="AL27" s="19" t="str">
        <f>IF(LessorBaseEx[[#This Row],[Multi-
Record2]]="Multi-Amount", "calc on import",LessorBaseEx[[#This Row],[Total Amount
of Payments]]-LessorBaseEx[[#This Row],[Present
Value]])</f>
        <v>calc on import</v>
      </c>
      <c r="AM27" s="19" t="str">
        <f>IF(LessorBaseEx[[#This Row],[Multi-
Record2]]="Multi-Amount", "calc on import", LessorBaseEx[[#This Row],[Present
Value]])</f>
        <v>calc on import</v>
      </c>
      <c r="AN27" t="s">
        <v>295</v>
      </c>
    </row>
    <row r="28" spans="1:40" x14ac:dyDescent="0.25">
      <c r="A28" t="s">
        <v>452</v>
      </c>
      <c r="B28">
        <f>'Agency Cover'!$B$3</f>
        <v>0</v>
      </c>
      <c r="C28" t="s">
        <v>641</v>
      </c>
      <c r="D28" t="s">
        <v>523</v>
      </c>
      <c r="E28">
        <f>COUNTIF(LessorBaseEx[AgreementCode],LessorBaseEx[[#This Row],[AgreementCode]])</f>
        <v>9</v>
      </c>
      <c r="F28" t="s">
        <v>496</v>
      </c>
      <c r="G28">
        <f>COUNTIF(LessorBaseEx[AgreementTitle],LessorBaseEx[[#This Row],[AgreementTitle]])</f>
        <v>9</v>
      </c>
      <c r="I28" t="s">
        <v>270</v>
      </c>
      <c r="J28" t="s">
        <v>3</v>
      </c>
      <c r="K28" t="s">
        <v>642</v>
      </c>
      <c r="L28" s="17">
        <v>44105</v>
      </c>
      <c r="M28" s="17">
        <v>45199</v>
      </c>
      <c r="P28" s="17">
        <v>45200</v>
      </c>
      <c r="Q28" s="17">
        <v>45565</v>
      </c>
      <c r="R28" s="17"/>
      <c r="S28" s="3">
        <f>LEN(LessorBaseEx[[#This Row],[Comments]])</f>
        <v>0</v>
      </c>
      <c r="T28" s="3" t="str">
        <f>LessorBaseEx[[#This Row],[Multi-
Record]]</f>
        <v>Multi-Amount</v>
      </c>
      <c r="U28" t="s">
        <v>266</v>
      </c>
      <c r="V28" t="s">
        <v>497</v>
      </c>
      <c r="W28" t="s">
        <v>266</v>
      </c>
      <c r="X28" t="s">
        <v>644</v>
      </c>
      <c r="Y28" t="str">
        <f>IF(LessorBaseEx[[#This Row],[Incl. Options
End Date]] = 0, IF(ROUND(ROUND((LessorBaseEx[[#This Row],[Initial Period
End Date]]-LessorBaseEx[[#This Row],[Initial Period
Start Date]])/365,2)*12,0)&lt;=12,"None","Transactional"), IF(ROUND(ROUND((LessorBaseEx[[#This Row],[Incl. Options
End Date]]-LessorBaseEx[[#This Row],[Initial Period
Start Date]])/365,2)*12,0)&lt;=12,"None","Transactional"))</f>
        <v>Transactional</v>
      </c>
      <c r="Z28" t="str">
        <f>LessorBaseEx[[#This Row],[ProvisionType]]</f>
        <v>Land</v>
      </c>
      <c r="AA28" s="17">
        <v>44105</v>
      </c>
      <c r="AB28" s="17">
        <f>IF(LessorBaseEx[[#This Row],[Incl. Options
End Date]]&gt;0,LessorBaseEx[[#This Row],[Incl. Options
End Date]],LessorBaseEx[[#This Row],[Initial Period
End Date]])</f>
        <v>45199</v>
      </c>
      <c r="AC28" s="19">
        <v>7000</v>
      </c>
      <c r="AD28" t="s">
        <v>317</v>
      </c>
      <c r="AE28" t="s">
        <v>316</v>
      </c>
      <c r="AF28" s="20">
        <v>2.75E-2</v>
      </c>
      <c r="AG28" s="17">
        <v>44835</v>
      </c>
      <c r="AH28" s="17">
        <v>45199</v>
      </c>
      <c r="AI28" cm="1">
        <f t="array" ref="AI28">ROUND(ROUND((LessorBaseEx[[#This Row],[Payment
EndDate]]-LessorBaseEx[[#This Row],[Payment
StartDate]])/365,2)*_xlfn.IFS(LessorBaseEx[[#This Row],[Payment
Frequency]]="MO",12,LessorBaseEx[[#This Row],[Payment
Frequency]]="QT",4,LessorBaseEx[[#This Row],[Payment
Frequency]]="SA",2,LessorBaseEx[[#This Row],[Payment
Frequency]]="AN",1),0)</f>
        <v>12</v>
      </c>
      <c r="AJ28" s="19">
        <f>ROUND(LessorBaseEx[[#This Row],[Payment
Amount]]*LessorBaseEx[[#This Row],[Number of
 Payments]],2)</f>
        <v>84000</v>
      </c>
      <c r="AK28" s="19" t="str">
        <f>IF(LessorBaseEx[[#This Row],[Multi-
Record2]]="Multi-Amount", "calc on import", ROUND(PV(LessorBaseEx[[#This Row],[Annual
Rate]]/IF(LessorBaseEx[[#This Row],[Payment
Frequency]] = "MO",12,IF(LessorBaseEx[[#This Row],[Payment
Frequency]] = "QT",4,IF(LessorBaseEx[[#This Row],[Payment
Frequency]] = "SA",2,IF(LessorBaseEx[[#This Row],[Payment
Frequency]] = "AN",1,0)))),LessorBaseEx[[#This Row],[Number of
 Payments]],LessorBaseEx[[#This Row],[Payment
Amount]],,IF(LessorBaseEx[[#This Row],[Payment
Timing]]="Advance",1,IF(LessorBaseEx[[#This Row],[Payment
Timing]]="Arrears",0,"x")))*-1,2))</f>
        <v>calc on import</v>
      </c>
      <c r="AL28" s="19" t="str">
        <f>IF(LessorBaseEx[[#This Row],[Multi-
Record2]]="Multi-Amount", "calc on import",LessorBaseEx[[#This Row],[Total Amount
of Payments]]-LessorBaseEx[[#This Row],[Present
Value]])</f>
        <v>calc on import</v>
      </c>
      <c r="AM28" s="19" t="str">
        <f>IF(LessorBaseEx[[#This Row],[Multi-
Record2]]="Multi-Amount", "calc on import", LessorBaseEx[[#This Row],[Present
Value]])</f>
        <v>calc on import</v>
      </c>
      <c r="AN28" t="s">
        <v>295</v>
      </c>
    </row>
    <row r="29" spans="1:40" x14ac:dyDescent="0.25">
      <c r="A29" t="s">
        <v>452</v>
      </c>
      <c r="B29">
        <f>'Agency Cover'!$B$3</f>
        <v>0</v>
      </c>
      <c r="C29" t="s">
        <v>641</v>
      </c>
      <c r="D29" t="s">
        <v>495</v>
      </c>
      <c r="E29">
        <f>COUNTIF(LessorBaseEx[AgreementCode],LessorBaseEx[[#This Row],[AgreementCode]])</f>
        <v>9</v>
      </c>
      <c r="F29" t="s">
        <v>496</v>
      </c>
      <c r="G29">
        <f>COUNTIF(LessorBaseEx[AgreementTitle],LessorBaseEx[[#This Row],[AgreementTitle]])</f>
        <v>9</v>
      </c>
      <c r="I29" t="s">
        <v>270</v>
      </c>
      <c r="J29" t="s">
        <v>3</v>
      </c>
      <c r="K29" t="s">
        <v>642</v>
      </c>
      <c r="L29" s="17">
        <v>44105</v>
      </c>
      <c r="M29" s="17">
        <v>45199</v>
      </c>
      <c r="P29" s="17">
        <v>45200</v>
      </c>
      <c r="Q29" s="17">
        <v>45565</v>
      </c>
      <c r="R29" s="17"/>
      <c r="S29" s="3">
        <f>LEN(LessorBaseEx[[#This Row],[Comments]])</f>
        <v>0</v>
      </c>
      <c r="T29" s="3" t="str">
        <f>LessorBaseEx[[#This Row],[Multi-
Record]]</f>
        <v>Multi-Provision</v>
      </c>
      <c r="U29" t="s">
        <v>645</v>
      </c>
      <c r="V29" t="s">
        <v>646</v>
      </c>
      <c r="W29" t="str">
        <f>LessorBaseEx[[#This Row],[AgreementType]]</f>
        <v>Buildings</v>
      </c>
      <c r="X29" t="s">
        <v>646</v>
      </c>
      <c r="Y29" t="str">
        <f>IF(LessorBaseEx[[#This Row],[Incl. Options
End Date]] = 0, IF(ROUND(ROUND((LessorBaseEx[[#This Row],[Initial Period
End Date]]-LessorBaseEx[[#This Row],[Initial Period
Start Date]])/365,2)*12,0)&lt;=12,"None","Transactional"), IF(ROUND(ROUND((LessorBaseEx[[#This Row],[Incl. Options
End Date]]-LessorBaseEx[[#This Row],[Initial Period
Start Date]])/365,2)*12,0)&lt;=12,"None","Transactional"))</f>
        <v>Transactional</v>
      </c>
      <c r="Z29" t="str">
        <f>LessorBaseEx[[#This Row],[ProvisionType]]</f>
        <v>Buildings</v>
      </c>
      <c r="AA29" s="17">
        <v>44105</v>
      </c>
      <c r="AB29" s="17">
        <f>IF(LessorBaseEx[[#This Row],[Incl. Options
End Date]]&gt;0,LessorBaseEx[[#This Row],[Incl. Options
End Date]],LessorBaseEx[[#This Row],[Initial Period
End Date]])</f>
        <v>45199</v>
      </c>
      <c r="AC29" s="19">
        <v>300</v>
      </c>
      <c r="AD29" t="s">
        <v>317</v>
      </c>
      <c r="AE29" t="s">
        <v>316</v>
      </c>
      <c r="AF29" s="20">
        <v>2.2499999999999999E-2</v>
      </c>
      <c r="AG29" s="17">
        <v>44105</v>
      </c>
      <c r="AH29" s="17">
        <v>45199</v>
      </c>
      <c r="AI29" cm="1">
        <f t="array" ref="AI29">ROUND(ROUND((LessorBaseEx[[#This Row],[Payment
EndDate]]-LessorBaseEx[[#This Row],[Payment
StartDate]])/365,2)*_xlfn.IFS(LessorBaseEx[[#This Row],[Payment
Frequency]]="MO",12,LessorBaseEx[[#This Row],[Payment
Frequency]]="QT",4,LessorBaseEx[[#This Row],[Payment
Frequency]]="SA",2,LessorBaseEx[[#This Row],[Payment
Frequency]]="AN",1),0)</f>
        <v>36</v>
      </c>
      <c r="AJ29" s="19">
        <f>ROUND(LessorBaseEx[[#This Row],[Payment
Amount]]*LessorBaseEx[[#This Row],[Number of
 Payments]],2)</f>
        <v>10800</v>
      </c>
      <c r="AK29" s="19">
        <f>IF(LessorBaseEx[[#This Row],[Multi-
Record2]]="Multi-Amount", "calc on import", ROUND(PV(LessorBaseEx[[#This Row],[Annual
Rate]]/IF(LessorBaseEx[[#This Row],[Payment
Frequency]] = "MO",12,IF(LessorBaseEx[[#This Row],[Payment
Frequency]] = "QT",4,IF(LessorBaseEx[[#This Row],[Payment
Frequency]] = "SA",2,IF(LessorBaseEx[[#This Row],[Payment
Frequency]] = "AN",1,0)))),LessorBaseEx[[#This Row],[Number of
 Payments]],LessorBaseEx[[#This Row],[Payment
Amount]],,IF(LessorBaseEx[[#This Row],[Payment
Timing]]="Advance",1,IF(LessorBaseEx[[#This Row],[Payment
Timing]]="Arrears",0,"x")))*-1,2))</f>
        <v>10453.68</v>
      </c>
      <c r="AL29" s="19">
        <f>IF(LessorBaseEx[[#This Row],[Multi-
Record2]]="Multi-Amount", "calc on import",LessorBaseEx[[#This Row],[Total Amount
of Payments]]-LessorBaseEx[[#This Row],[Present
Value]])</f>
        <v>346.31999999999971</v>
      </c>
      <c r="AM29" s="19">
        <f>IF(LessorBaseEx[[#This Row],[Multi-
Record2]]="Multi-Amount", "calc on import", LessorBaseEx[[#This Row],[Present
Value]])</f>
        <v>10453.68</v>
      </c>
      <c r="AN29" t="s">
        <v>295</v>
      </c>
    </row>
    <row r="30" spans="1:40" x14ac:dyDescent="0.25">
      <c r="A30" t="s">
        <v>452</v>
      </c>
      <c r="B30">
        <f>'Agency Cover'!$B$3</f>
        <v>0</v>
      </c>
      <c r="C30" t="s">
        <v>641</v>
      </c>
      <c r="D30" t="s">
        <v>495</v>
      </c>
      <c r="E30">
        <f>COUNTIF(LessorBaseEx[AgreementCode],LessorBaseEx[[#This Row],[AgreementCode]])</f>
        <v>9</v>
      </c>
      <c r="F30" t="s">
        <v>496</v>
      </c>
      <c r="G30">
        <f>COUNTIF(LessorBaseEx[AgreementTitle],LessorBaseEx[[#This Row],[AgreementTitle]])</f>
        <v>9</v>
      </c>
      <c r="I30" t="s">
        <v>270</v>
      </c>
      <c r="J30" t="s">
        <v>3</v>
      </c>
      <c r="K30" t="s">
        <v>642</v>
      </c>
      <c r="L30" s="17">
        <v>44105</v>
      </c>
      <c r="M30" s="17">
        <v>45199</v>
      </c>
      <c r="P30" s="17">
        <v>45200</v>
      </c>
      <c r="Q30" s="17">
        <v>45565</v>
      </c>
      <c r="R30" s="17"/>
      <c r="S30" s="3">
        <f>LEN(LessorBaseEx[[#This Row],[Comments]])</f>
        <v>0</v>
      </c>
      <c r="T30" s="3" t="str">
        <f>LessorBaseEx[[#This Row],[Multi-
Record]]</f>
        <v>Multi-Provision</v>
      </c>
      <c r="U30" t="s">
        <v>647</v>
      </c>
      <c r="V30" t="s">
        <v>648</v>
      </c>
      <c r="W30" t="str">
        <f>LessorBaseEx[[#This Row],[AgreementType]]</f>
        <v>Buildings</v>
      </c>
      <c r="X30" t="s">
        <v>648</v>
      </c>
      <c r="Y30" t="str">
        <f>IF(LessorBaseEx[[#This Row],[Incl. Options
End Date]] = 0, IF(ROUND(ROUND((LessorBaseEx[[#This Row],[Initial Period
End Date]]-LessorBaseEx[[#This Row],[Initial Period
Start Date]])/365,2)*12,0)&lt;=12,"None","Transactional"), IF(ROUND(ROUND((LessorBaseEx[[#This Row],[Incl. Options
End Date]]-LessorBaseEx[[#This Row],[Initial Period
Start Date]])/365,2)*12,0)&lt;=12,"None","Transactional"))</f>
        <v>Transactional</v>
      </c>
      <c r="Z30" t="str">
        <f>LessorBaseEx[[#This Row],[ProvisionType]]</f>
        <v>Buildings</v>
      </c>
      <c r="AA30" s="17">
        <v>44105</v>
      </c>
      <c r="AB30" s="17">
        <f>IF(LessorBaseEx[[#This Row],[Incl. Options
End Date]]&gt;0,LessorBaseEx[[#This Row],[Incl. Options
End Date]],LessorBaseEx[[#This Row],[Initial Period
End Date]])</f>
        <v>45199</v>
      </c>
      <c r="AC30" s="19">
        <v>450</v>
      </c>
      <c r="AD30" t="s">
        <v>317</v>
      </c>
      <c r="AE30" t="s">
        <v>316</v>
      </c>
      <c r="AF30" s="20">
        <v>2.2499999999999999E-2</v>
      </c>
      <c r="AG30" s="17">
        <v>44105</v>
      </c>
      <c r="AH30" s="17">
        <v>45199</v>
      </c>
      <c r="AI30" cm="1">
        <f t="array" ref="AI30">ROUND(ROUND((LessorBaseEx[[#This Row],[Payment
EndDate]]-LessorBaseEx[[#This Row],[Payment
StartDate]])/365,2)*_xlfn.IFS(LessorBaseEx[[#This Row],[Payment
Frequency]]="MO",12,LessorBaseEx[[#This Row],[Payment
Frequency]]="QT",4,LessorBaseEx[[#This Row],[Payment
Frequency]]="SA",2,LessorBaseEx[[#This Row],[Payment
Frequency]]="AN",1),0)</f>
        <v>36</v>
      </c>
      <c r="AJ30" s="19">
        <f>ROUND(LessorBaseEx[[#This Row],[Payment
Amount]]*LessorBaseEx[[#This Row],[Number of
 Payments]],2)</f>
        <v>16200</v>
      </c>
      <c r="AK30" s="19">
        <f>IF(LessorBaseEx[[#This Row],[Multi-
Record2]]="Multi-Amount", "calc on import", ROUND(PV(LessorBaseEx[[#This Row],[Annual
Rate]]/IF(LessorBaseEx[[#This Row],[Payment
Frequency]] = "MO",12,IF(LessorBaseEx[[#This Row],[Payment
Frequency]] = "QT",4,IF(LessorBaseEx[[#This Row],[Payment
Frequency]] = "SA",2,IF(LessorBaseEx[[#This Row],[Payment
Frequency]] = "AN",1,0)))),LessorBaseEx[[#This Row],[Number of
 Payments]],LessorBaseEx[[#This Row],[Payment
Amount]],,IF(LessorBaseEx[[#This Row],[Payment
Timing]]="Advance",1,IF(LessorBaseEx[[#This Row],[Payment
Timing]]="Arrears",0,"x")))*-1,2))</f>
        <v>15680.51</v>
      </c>
      <c r="AL30" s="19">
        <f>IF(LessorBaseEx[[#This Row],[Multi-
Record2]]="Multi-Amount", "calc on import",LessorBaseEx[[#This Row],[Total Amount
of Payments]]-LessorBaseEx[[#This Row],[Present
Value]])</f>
        <v>519.48999999999978</v>
      </c>
      <c r="AM30" s="19">
        <f>IF(LessorBaseEx[[#This Row],[Multi-
Record2]]="Multi-Amount", "calc on import", LessorBaseEx[[#This Row],[Present
Value]])</f>
        <v>15680.51</v>
      </c>
      <c r="AN30" t="s">
        <v>295</v>
      </c>
    </row>
    <row r="31" spans="1:40" x14ac:dyDescent="0.25">
      <c r="A31" t="s">
        <v>452</v>
      </c>
      <c r="B31">
        <f>'Agency Cover'!$B$3</f>
        <v>0</v>
      </c>
      <c r="C31" t="s">
        <v>641</v>
      </c>
      <c r="D31" t="s">
        <v>495</v>
      </c>
      <c r="E31">
        <f>COUNTIF(LessorBaseEx[AgreementCode],LessorBaseEx[[#This Row],[AgreementCode]])</f>
        <v>9</v>
      </c>
      <c r="F31" t="s">
        <v>496</v>
      </c>
      <c r="G31">
        <f>COUNTIF(LessorBaseEx[AgreementTitle],LessorBaseEx[[#This Row],[AgreementTitle]])</f>
        <v>9</v>
      </c>
      <c r="I31" t="s">
        <v>270</v>
      </c>
      <c r="J31" t="s">
        <v>3</v>
      </c>
      <c r="K31" t="s">
        <v>642</v>
      </c>
      <c r="L31" s="17">
        <v>44105</v>
      </c>
      <c r="M31" s="17">
        <v>45199</v>
      </c>
      <c r="P31" s="17">
        <v>45200</v>
      </c>
      <c r="Q31" s="17">
        <v>45565</v>
      </c>
      <c r="R31" s="17"/>
      <c r="S31" s="3">
        <f>LEN(LessorBaseEx[[#This Row],[Comments]])</f>
        <v>0</v>
      </c>
      <c r="T31" s="3" t="str">
        <f>LessorBaseEx[[#This Row],[Multi-
Record]]</f>
        <v>Multi-Provision</v>
      </c>
      <c r="U31" t="s">
        <v>544</v>
      </c>
      <c r="V31" t="s">
        <v>545</v>
      </c>
      <c r="W31" t="s">
        <v>262</v>
      </c>
      <c r="X31" t="s">
        <v>629</v>
      </c>
      <c r="Y31" t="s">
        <v>290</v>
      </c>
      <c r="Z31" t="str">
        <f>LessorBaseEx[[#This Row],[ProvisionType]]</f>
        <v>Services</v>
      </c>
      <c r="AB31" s="17">
        <f>IF(LessorBaseEx[[#This Row],[Incl. Options
End Date]]&gt;0,LessorBaseEx[[#This Row],[Incl. Options
End Date]],LessorBaseEx[[#This Row],[Initial Period
End Date]])</f>
        <v>45199</v>
      </c>
      <c r="AI31" t="e" cm="1">
        <f t="array" ref="AI31">ROUND(ROUND((LessorBaseEx[[#This Row],[Payment
EndDate]]-LessorBaseEx[[#This Row],[Payment
StartDate]])/365,2)*_xlfn.IFS(LessorBaseEx[[#This Row],[Payment
Frequency]]="MO",12,LessorBaseEx[[#This Row],[Payment
Frequency]]="QT",4,LessorBaseEx[[#This Row],[Payment
Frequency]]="SA",2,LessorBaseEx[[#This Row],[Payment
Frequency]]="AN",1),0)</f>
        <v>#N/A</v>
      </c>
      <c r="AJ31" s="19" t="e">
        <f>ROUND(LessorBaseEx[[#This Row],[Payment
Amount]]*LessorBaseEx[[#This Row],[Number of
 Payments]],2)</f>
        <v>#N/A</v>
      </c>
      <c r="AK31" s="19" t="e">
        <f>IF(LessorBaseEx[[#This Row],[Multi-
Record2]]="Multi-Amount", "calc on import", ROUND(PV(LessorBaseEx[[#This Row],[Annual
Rate]]/IF(LessorBaseEx[[#This Row],[Payment
Frequency]] = "MO",12,IF(LessorBaseEx[[#This Row],[Payment
Frequency]] = "QT",4,IF(LessorBaseEx[[#This Row],[Payment
Frequency]] = "SA",2,IF(LessorBaseEx[[#This Row],[Payment
Frequency]] = "AN",1,0)))),LessorBaseEx[[#This Row],[Number of
 Payments]],LessorBaseEx[[#This Row],[Payment
Amount]],,IF(LessorBaseEx[[#This Row],[Payment
Timing]]="Advance",1,IF(LessorBaseEx[[#This Row],[Payment
Timing]]="Arrears",0,"x")))*-1,2))</f>
        <v>#DIV/0!</v>
      </c>
      <c r="AL31" s="19" t="e">
        <f>IF(LessorBaseEx[[#This Row],[Multi-
Record2]]="Multi-Amount", "calc on import",LessorBaseEx[[#This Row],[Total Amount
of Payments]]-LessorBaseEx[[#This Row],[Present
Value]])</f>
        <v>#N/A</v>
      </c>
      <c r="AM31" s="19" t="e">
        <f>IF(LessorBaseEx[[#This Row],[Multi-
Record2]]="Multi-Amount", "calc on import", LessorBaseEx[[#This Row],[Present
Value]])</f>
        <v>#DIV/0!</v>
      </c>
      <c r="AN31" t="s">
        <v>295</v>
      </c>
    </row>
    <row r="32" spans="1:40" x14ac:dyDescent="0.25">
      <c r="A32" t="s">
        <v>452</v>
      </c>
      <c r="B32">
        <f>'Agency Cover'!$B$3</f>
        <v>0</v>
      </c>
      <c r="C32" s="70" t="s">
        <v>649</v>
      </c>
      <c r="D32" s="70" t="s">
        <v>290</v>
      </c>
      <c r="E32" s="70">
        <f>COUNTIF(LessorBaseEx[AgreementCode],LessorBaseEx[[#This Row],[AgreementCode]])</f>
        <v>1</v>
      </c>
      <c r="F32" s="70" t="s">
        <v>650</v>
      </c>
      <c r="G32" s="70">
        <f>COUNTIF(LessorBaseEx[AgreementTitle],LessorBaseEx[[#This Row],[AgreementTitle]])</f>
        <v>1</v>
      </c>
      <c r="H32" s="70"/>
      <c r="I32" s="70"/>
      <c r="J32" s="70"/>
      <c r="K32" s="70"/>
      <c r="L32" s="71"/>
      <c r="M32" s="71"/>
      <c r="N32" s="71"/>
      <c r="O32" s="71"/>
      <c r="P32" s="71"/>
      <c r="Q32" s="71"/>
      <c r="R32" s="71"/>
      <c r="S32" s="125">
        <f>LEN(LessorBaseEx[[#This Row],[Comments]])</f>
        <v>0</v>
      </c>
      <c r="T32" s="125" t="str">
        <f>LessorBaseEx[[#This Row],[Multi-
Record]]</f>
        <v>None</v>
      </c>
      <c r="U32" s="70" t="str">
        <f>LessorBaseEx[[#This Row],[AgreementCode]]</f>
        <v>Formula  Row</v>
      </c>
      <c r="V32" s="70" t="str">
        <f>LEFT(LessorBaseEx[[#This Row],[AgreementTitle]],50)</f>
        <v>Formula Row - Do Not Delete - Copy if needed</v>
      </c>
      <c r="W32" s="70">
        <f>LessorBaseEx[[#This Row],[AgreementType]]</f>
        <v>0</v>
      </c>
      <c r="X32" s="70"/>
      <c r="Y32" t="str">
        <f>IF(LessorBaseEx[[#This Row],[Incl. Options
End Date]] = 0, IF(ROUND(ROUND((LessorBaseEx[[#This Row],[Initial Period
End Date]]-LessorBaseEx[[#This Row],[Initial Period
Start Date]])/365,2)*12,0)&lt;=12,"None","Transactional"), IF(ROUND(ROUND((LessorBaseEx[[#This Row],[Incl. Options
End Date]]-LessorBaseEx[[#This Row],[Initial Period
Start Date]])/365,2)*12,0)&lt;=12,"None","Transactional"))</f>
        <v>None</v>
      </c>
      <c r="Z32">
        <f>LessorBaseEx[[#This Row],[ProvisionType]]</f>
        <v>0</v>
      </c>
      <c r="AB32" s="17">
        <f>IF(LessorBaseEx[[#This Row],[Incl. Options
End Date]]&gt;0,LessorBaseEx[[#This Row],[Incl. Options
End Date]],LessorBaseEx[[#This Row],[Initial Period
End Date]])</f>
        <v>0</v>
      </c>
      <c r="AI32" t="e" cm="1">
        <f t="array" ref="AI32">ROUND(ROUND((LessorBaseEx[[#This Row],[Payment
EndDate]]-LessorBaseEx[[#This Row],[Payment
StartDate]])/365,2)*_xlfn.IFS(LessorBaseEx[[#This Row],[Payment
Frequency]]="MO",12,LessorBaseEx[[#This Row],[Payment
Frequency]]="QT",4,LessorBaseEx[[#This Row],[Payment
Frequency]]="SA",2,LessorBaseEx[[#This Row],[Payment
Frequency]]="AN",1),0)</f>
        <v>#N/A</v>
      </c>
      <c r="AJ32" s="19" t="e">
        <f>ROUND(LessorBaseEx[[#This Row],[Payment
Amount]]*LessorBaseEx[[#This Row],[Number of
 Payments]],2)</f>
        <v>#N/A</v>
      </c>
      <c r="AK32" s="19" t="e">
        <f>IF(LessorBaseEx[[#This Row],[Multi-
Record2]]="Multi-Amount", "calc on import", ROUND(PV(LessorBaseEx[[#This Row],[Annual
Rate]]/IF(LessorBaseEx[[#This Row],[Payment
Frequency]] = "MO",12,IF(LessorBaseEx[[#This Row],[Payment
Frequency]] = "QT",4,IF(LessorBaseEx[[#This Row],[Payment
Frequency]] = "SA",2,IF(LessorBaseEx[[#This Row],[Payment
Frequency]] = "AN",1,0)))),LessorBaseEx[[#This Row],[Number of
 Payments]],LessorBaseEx[[#This Row],[Payment
Amount]],,IF(LessorBaseEx[[#This Row],[Payment
Timing]]="Advance",1,IF(LessorBaseEx[[#This Row],[Payment
Timing]]="Arrears",0,"x")))*-1,2))</f>
        <v>#DIV/0!</v>
      </c>
      <c r="AL32" s="19" t="e">
        <f>IF(LessorBaseEx[[#This Row],[Multi-
Record2]]="Multi-Amount", "calc on import",LessorBaseEx[[#This Row],[Total Amount
of Payments]]-LessorBaseEx[[#This Row],[Present
Value]])</f>
        <v>#N/A</v>
      </c>
      <c r="AM32" s="19" t="e">
        <f>IF(LessorBaseEx[[#This Row],[Multi-
Record2]]="Multi-Amount", "calc on import", LessorBaseEx[[#This Row],[Present
Value]])</f>
        <v>#DIV/0!</v>
      </c>
      <c r="AN32" t="s">
        <v>295</v>
      </c>
    </row>
  </sheetData>
  <sheetProtection algorithmName="SHA-512" hashValue="YLCO7YlEDysCU5fGOKPSqj27pM5PzwR6mTVBJv8d1ZXlC6vNZJZ4N0/MOkTeadsLU6DNApUPhXCCcUzsGXhb+A==" saltValue="XchuJj0IMi0dWTUwr1tsrQ==" spinCount="100000" sheet="1" objects="1" scenarios="1"/>
  <conditionalFormatting sqref="E20:E21 E23:E32 G23:G32">
    <cfRule type="cellIs" dxfId="71" priority="80" operator="greaterThan">
      <formula>1</formula>
    </cfRule>
  </conditionalFormatting>
  <conditionalFormatting sqref="E3">
    <cfRule type="containsText" dxfId="70" priority="79" operator="containsText" text="Error: 0">
      <formula>NOT(ISERROR(SEARCH("Error: 0",E3)))</formula>
    </cfRule>
  </conditionalFormatting>
  <conditionalFormatting sqref="G18:G21">
    <cfRule type="cellIs" dxfId="69" priority="78" operator="greaterThan">
      <formula>1</formula>
    </cfRule>
  </conditionalFormatting>
  <conditionalFormatting sqref="G3">
    <cfRule type="containsText" dxfId="68" priority="77" operator="containsText" text="Error: 0">
      <formula>NOT(ISERROR(SEARCH("Error: 0",G3)))</formula>
    </cfRule>
  </conditionalFormatting>
  <conditionalFormatting sqref="S23:S32">
    <cfRule type="cellIs" dxfId="67" priority="41" operator="greaterThan">
      <formula>300</formula>
    </cfRule>
  </conditionalFormatting>
  <conditionalFormatting sqref="S3">
    <cfRule type="containsText" dxfId="66" priority="76" operator="containsText" text="Error: 0">
      <formula>NOT(ISERROR(SEARCH("Error: 0",S3)))</formula>
    </cfRule>
  </conditionalFormatting>
  <conditionalFormatting sqref="C3">
    <cfRule type="containsText" dxfId="65" priority="75" operator="containsText" text="Error: 0">
      <formula>NOT(ISERROR(SEARCH("Error: 0",C3)))</formula>
    </cfRule>
  </conditionalFormatting>
  <conditionalFormatting sqref="F3">
    <cfRule type="containsText" dxfId="64" priority="74" operator="containsText" text="Error: 0">
      <formula>NOT(ISERROR(SEARCH("Error: 0",F3)))</formula>
    </cfRule>
  </conditionalFormatting>
  <conditionalFormatting sqref="I3">
    <cfRule type="containsText" dxfId="63" priority="73" operator="containsText" text="Error: 0">
      <formula>NOT(ISERROR(SEARCH("Error: 0",I3)))</formula>
    </cfRule>
  </conditionalFormatting>
  <conditionalFormatting sqref="J3">
    <cfRule type="containsText" dxfId="62" priority="72" operator="containsText" text="Error: 0">
      <formula>NOT(ISERROR(SEARCH("Error: 0",J3)))</formula>
    </cfRule>
  </conditionalFormatting>
  <conditionalFormatting sqref="K3">
    <cfRule type="containsText" dxfId="61" priority="71" operator="containsText" text="Error: 0">
      <formula>NOT(ISERROR(SEARCH("Error: 0",K3)))</formula>
    </cfRule>
  </conditionalFormatting>
  <conditionalFormatting sqref="T3:U3">
    <cfRule type="containsText" dxfId="60" priority="70" operator="containsText" text="Error: 0">
      <formula>NOT(ISERROR(SEARCH("Error: 0",T3)))</formula>
    </cfRule>
  </conditionalFormatting>
  <conditionalFormatting sqref="V3">
    <cfRule type="containsText" dxfId="59" priority="69" operator="containsText" text="Error: 0">
      <formula>NOT(ISERROR(SEARCH("Error: 0",V3)))</formula>
    </cfRule>
  </conditionalFormatting>
  <conditionalFormatting sqref="W3">
    <cfRule type="containsText" dxfId="58" priority="68" operator="containsText" text="Error: 0">
      <formula>NOT(ISERROR(SEARCH("Error: 0",W3)))</formula>
    </cfRule>
  </conditionalFormatting>
  <conditionalFormatting sqref="Y3">
    <cfRule type="containsText" dxfId="57" priority="67" operator="containsText" text="Error: 0">
      <formula>NOT(ISERROR(SEARCH("Error: 0",Y3)))</formula>
    </cfRule>
  </conditionalFormatting>
  <conditionalFormatting sqref="Z3">
    <cfRule type="containsText" dxfId="56" priority="66" operator="containsText" text="Error: 0">
      <formula>NOT(ISERROR(SEARCH("Error: 0",Z3)))</formula>
    </cfRule>
  </conditionalFormatting>
  <conditionalFormatting sqref="AA3">
    <cfRule type="containsText" dxfId="55" priority="65" operator="containsText" text="Error: 0">
      <formula>NOT(ISERROR(SEARCH("Error: 0",AA3)))</formula>
    </cfRule>
  </conditionalFormatting>
  <conditionalFormatting sqref="AB3">
    <cfRule type="containsText" dxfId="54" priority="64" operator="containsText" text="Error: 0">
      <formula>NOT(ISERROR(SEARCH("Error: 0",AB3)))</formula>
    </cfRule>
  </conditionalFormatting>
  <conditionalFormatting sqref="AC3">
    <cfRule type="containsText" dxfId="53" priority="63" operator="containsText" text="Error: 0">
      <formula>NOT(ISERROR(SEARCH("Error: 0",AC3)))</formula>
    </cfRule>
  </conditionalFormatting>
  <conditionalFormatting sqref="AD3">
    <cfRule type="containsText" dxfId="52" priority="62" operator="containsText" text="Error: 0">
      <formula>NOT(ISERROR(SEARCH("Error: 0",AD3)))</formula>
    </cfRule>
  </conditionalFormatting>
  <conditionalFormatting sqref="AE3">
    <cfRule type="containsText" dxfId="51" priority="61" operator="containsText" text="Error: 0">
      <formula>NOT(ISERROR(SEARCH("Error: 0",AE3)))</formula>
    </cfRule>
  </conditionalFormatting>
  <conditionalFormatting sqref="AF3">
    <cfRule type="containsText" dxfId="50" priority="60" operator="containsText" text="Error: 0">
      <formula>NOT(ISERROR(SEARCH("Error: 0",AF3)))</formula>
    </cfRule>
  </conditionalFormatting>
  <conditionalFormatting sqref="AG3">
    <cfRule type="containsText" dxfId="49" priority="59" operator="containsText" text="Error: 0">
      <formula>NOT(ISERROR(SEARCH("Error: 0",AG3)))</formula>
    </cfRule>
  </conditionalFormatting>
  <conditionalFormatting sqref="AH3">
    <cfRule type="containsText" dxfId="48" priority="58" operator="containsText" text="Error: 0">
      <formula>NOT(ISERROR(SEARCH("Error: 0",AH3)))</formula>
    </cfRule>
  </conditionalFormatting>
  <conditionalFormatting sqref="L3:M3">
    <cfRule type="containsText" dxfId="47" priority="47" operator="containsText" text="Error: 0">
      <formula>NOT(ISERROR(SEARCH("Error: 0",L3)))</formula>
    </cfRule>
  </conditionalFormatting>
  <conditionalFormatting sqref="AH6 AB11:AB32">
    <cfRule type="cellIs" dxfId="46" priority="46" operator="equal">
      <formula>0</formula>
    </cfRule>
  </conditionalFormatting>
  <conditionalFormatting sqref="AH7:AH9">
    <cfRule type="cellIs" dxfId="45" priority="45" operator="equal">
      <formula>0</formula>
    </cfRule>
  </conditionalFormatting>
  <conditionalFormatting sqref="AB6">
    <cfRule type="cellIs" dxfId="44" priority="40" operator="equal">
      <formula>0</formula>
    </cfRule>
  </conditionalFormatting>
  <conditionalFormatting sqref="AB7:AB10">
    <cfRule type="cellIs" dxfId="43" priority="39" operator="equal">
      <formula>0</formula>
    </cfRule>
  </conditionalFormatting>
  <conditionalFormatting sqref="S10">
    <cfRule type="cellIs" dxfId="42" priority="27" operator="greaterThan">
      <formula>300</formula>
    </cfRule>
  </conditionalFormatting>
  <conditionalFormatting sqref="Z6:AL8 Z11:AL12 Z14:AL15 Z18:AL20 Z23:AL32 Z9:AN10 Z13:AN13 Z16:AN17 Z21:AN22 AO6:AW32">
    <cfRule type="expression" dxfId="41" priority="38" stopIfTrue="1">
      <formula>$Y6="None"</formula>
    </cfRule>
  </conditionalFormatting>
  <conditionalFormatting sqref="E20:E21">
    <cfRule type="cellIs" dxfId="40" priority="37" operator="greaterThan">
      <formula>1</formula>
    </cfRule>
  </conditionalFormatting>
  <conditionalFormatting sqref="G18:G21">
    <cfRule type="cellIs" dxfId="39" priority="36" operator="greaterThan">
      <formula>1</formula>
    </cfRule>
  </conditionalFormatting>
  <conditionalFormatting sqref="S18:S21">
    <cfRule type="cellIs" dxfId="38" priority="35" operator="greaterThan">
      <formula>300</formula>
    </cfRule>
  </conditionalFormatting>
  <conditionalFormatting sqref="D3">
    <cfRule type="containsText" dxfId="37" priority="34" operator="containsText" text="Error: 0">
      <formula>NOT(ISERROR(SEARCH("Error: 0",D3)))</formula>
    </cfRule>
  </conditionalFormatting>
  <conditionalFormatting sqref="E7:E8">
    <cfRule type="cellIs" dxfId="36" priority="17" operator="greaterThan">
      <formula>1</formula>
    </cfRule>
  </conditionalFormatting>
  <conditionalFormatting sqref="E17">
    <cfRule type="cellIs" dxfId="35" priority="16" operator="greaterThan">
      <formula>1</formula>
    </cfRule>
  </conditionalFormatting>
  <conditionalFormatting sqref="S17">
    <cfRule type="cellIs" dxfId="34" priority="14" operator="greaterThan">
      <formula>300</formula>
    </cfRule>
  </conditionalFormatting>
  <conditionalFormatting sqref="E22">
    <cfRule type="cellIs" dxfId="33" priority="13" operator="greaterThan">
      <formula>1</formula>
    </cfRule>
  </conditionalFormatting>
  <conditionalFormatting sqref="G22">
    <cfRule type="cellIs" dxfId="32" priority="12" operator="greaterThan">
      <formula>1</formula>
    </cfRule>
  </conditionalFormatting>
  <conditionalFormatting sqref="S22">
    <cfRule type="cellIs" dxfId="31" priority="11" operator="greaterThan">
      <formula>300</formula>
    </cfRule>
  </conditionalFormatting>
  <conditionalFormatting sqref="E6 E9">
    <cfRule type="cellIs" dxfId="30" priority="33" operator="greaterThan">
      <formula>1</formula>
    </cfRule>
  </conditionalFormatting>
  <conditionalFormatting sqref="G6 G9">
    <cfRule type="cellIs" dxfId="29" priority="32" operator="greaterThan">
      <formula>1</formula>
    </cfRule>
  </conditionalFormatting>
  <conditionalFormatting sqref="S6">
    <cfRule type="cellIs" dxfId="28" priority="31" operator="greaterThan">
      <formula>300</formula>
    </cfRule>
  </conditionalFormatting>
  <conditionalFormatting sqref="S9">
    <cfRule type="cellIs" dxfId="27" priority="30" operator="greaterThan">
      <formula>300</formula>
    </cfRule>
  </conditionalFormatting>
  <conditionalFormatting sqref="G11:G16">
    <cfRule type="cellIs" dxfId="26" priority="25" operator="greaterThan">
      <formula>1</formula>
    </cfRule>
  </conditionalFormatting>
  <conditionalFormatting sqref="E7:E8">
    <cfRule type="cellIs" dxfId="25" priority="18" operator="greaterThan">
      <formula>1</formula>
    </cfRule>
  </conditionalFormatting>
  <conditionalFormatting sqref="S7:S8">
    <cfRule type="cellIs" dxfId="24" priority="21" operator="greaterThan">
      <formula>300</formula>
    </cfRule>
  </conditionalFormatting>
  <conditionalFormatting sqref="G7:G8">
    <cfRule type="cellIs" dxfId="23" priority="24" operator="greaterThan">
      <formula>1</formula>
    </cfRule>
  </conditionalFormatting>
  <conditionalFormatting sqref="E10">
    <cfRule type="cellIs" dxfId="22" priority="29" operator="greaterThan">
      <formula>1</formula>
    </cfRule>
  </conditionalFormatting>
  <conditionalFormatting sqref="G10">
    <cfRule type="cellIs" dxfId="21" priority="28" operator="greaterThan">
      <formula>1</formula>
    </cfRule>
  </conditionalFormatting>
  <conditionalFormatting sqref="G11:G16">
    <cfRule type="cellIs" dxfId="20" priority="26" operator="greaterThan">
      <formula>1</formula>
    </cfRule>
  </conditionalFormatting>
  <conditionalFormatting sqref="G7:G8">
    <cfRule type="cellIs" dxfId="19" priority="23" operator="greaterThan">
      <formula>1</formula>
    </cfRule>
  </conditionalFormatting>
  <conditionalFormatting sqref="S11:S16">
    <cfRule type="cellIs" dxfId="18" priority="22" operator="greaterThan">
      <formula>300</formula>
    </cfRule>
  </conditionalFormatting>
  <conditionalFormatting sqref="E11:E16 E18:E19">
    <cfRule type="cellIs" dxfId="17" priority="20" operator="greaterThan">
      <formula>1</formula>
    </cfRule>
  </conditionalFormatting>
  <conditionalFormatting sqref="E11:E16 E18:E19">
    <cfRule type="cellIs" dxfId="16" priority="19" operator="greaterThan">
      <formula>1</formula>
    </cfRule>
  </conditionalFormatting>
  <conditionalFormatting sqref="G17">
    <cfRule type="cellIs" dxfId="15" priority="15" operator="greaterThan">
      <formula>1</formula>
    </cfRule>
  </conditionalFormatting>
  <conditionalFormatting sqref="AM3">
    <cfRule type="containsText" dxfId="14" priority="10" operator="containsText" text="Error: 0">
      <formula>NOT(ISERROR(SEARCH("Error: 0",AM3)))</formula>
    </cfRule>
  </conditionalFormatting>
  <conditionalFormatting sqref="AN3">
    <cfRule type="containsText" dxfId="13" priority="9" operator="containsText" text="Error: 0">
      <formula>NOT(ISERROR(SEARCH("Error: 0",AN3)))</formula>
    </cfRule>
  </conditionalFormatting>
  <conditionalFormatting sqref="AM6:AN6">
    <cfRule type="expression" dxfId="12" priority="8" stopIfTrue="1">
      <formula>$Y6="None"</formula>
    </cfRule>
  </conditionalFormatting>
  <conditionalFormatting sqref="AM7:AN8">
    <cfRule type="expression" dxfId="11" priority="7" stopIfTrue="1">
      <formula>$Y7="None"</formula>
    </cfRule>
  </conditionalFormatting>
  <conditionalFormatting sqref="AM11:AN12">
    <cfRule type="expression" dxfId="10" priority="6" stopIfTrue="1">
      <formula>$Y11="None"</formula>
    </cfRule>
  </conditionalFormatting>
  <conditionalFormatting sqref="AM14:AN15">
    <cfRule type="expression" dxfId="9" priority="5" stopIfTrue="1">
      <formula>$Y14="None"</formula>
    </cfRule>
  </conditionalFormatting>
  <conditionalFormatting sqref="AM18:AN20">
    <cfRule type="expression" dxfId="8" priority="4" stopIfTrue="1">
      <formula>$Y18="None"</formula>
    </cfRule>
  </conditionalFormatting>
  <conditionalFormatting sqref="AM23:AN30">
    <cfRule type="expression" dxfId="7" priority="3" stopIfTrue="1">
      <formula>$Y23="None"</formula>
    </cfRule>
  </conditionalFormatting>
  <conditionalFormatting sqref="AM31:AN31">
    <cfRule type="expression" dxfId="6" priority="2" stopIfTrue="1">
      <formula>$Y31="None"</formula>
    </cfRule>
  </conditionalFormatting>
  <conditionalFormatting sqref="AM32:AN32">
    <cfRule type="expression" dxfId="5" priority="1" stopIfTrue="1">
      <formula>$Y32="None"</formula>
    </cfRule>
  </conditionalFormatting>
  <dataValidations count="27">
    <dataValidation type="textLength" showErrorMessage="1" errorTitle="Input Error" error="Enter unique 12-character code:_x000a_3-digit agency-YYYY-###_x000a_Example: 020-2019-003" promptTitle="Field is Rquired" prompt="Enter unique 12-character code:_x000a_3-digit agency-YYYY-###_x000a_Example: 020-2019-003" sqref="C6:C32" xr:uid="{00000000-0002-0000-0600-000000000000}">
      <formula1>12</formula1>
      <formula2>12</formula2>
    </dataValidation>
    <dataValidation type="textLength" showErrorMessage="1" errorTitle="Data Input Error" error="Title is required and the title cannot excced 75 characters, including spaces." promptTitle="Agreement Title Required" prompt="This field is required and must be unique across all agencies.  Maximum 75 chanarcters.  Inlcude agency number to ensure uniqueness." sqref="F6:F32" xr:uid="{00000000-0002-0000-0600-000001000000}">
      <formula1>1</formula1>
      <formula2>75</formula2>
    </dataValidation>
    <dataValidation type="textLength" allowBlank="1" showErrorMessage="1" errorTitle="Maximum Length Exceeded" error="There is a 12-character maximum length on this field, including spaces." promptTitle="Optional Field" prompt="Data is an optional reference.  There is a 12-character maximum length if used." sqref="H6:H32" xr:uid="{00000000-0002-0000-0600-000002000000}">
      <formula1>0</formula1>
      <formula2>12</formula2>
    </dataValidation>
    <dataValidation type="textLength" showErrorMessage="1" errorTitle="Input Error" error="Required field;_x000a_No more than 50 characters" promptTitle="Provision Reference Required" prompt="This field is required;_x000a_There is a 50-character maximum length, including spaces" sqref="V6:V13 V16:V32 X29" xr:uid="{00000000-0002-0000-0600-000003000000}">
      <formula1>1</formula1>
      <formula2>50</formula2>
    </dataValidation>
    <dataValidation type="date" showErrorMessage="1" errorTitle="Input Error" error="Please enter a valid date." sqref="AA6:AA32" xr:uid="{00000000-0002-0000-0600-000004000000}">
      <formula1>29221</formula1>
      <formula2>88025</formula2>
    </dataValidation>
    <dataValidation type="decimal" allowBlank="1" showErrorMessage="1" errorTitle="Input Error" error="The Payment Amount must be greater than zero (0)." promptTitle="Payment Amount Entry" prompt="Enter the amount of the routine, periodic payment." sqref="AC6:AC32" xr:uid="{00000000-0002-0000-0600-000005000000}">
      <formula1>0.01</formula1>
      <formula2>999999999.99</formula2>
    </dataValidation>
    <dataValidation type="list" showErrorMessage="1" errorTitle="Input Error" error="You must select a value from the list." promptTitle="Payment Frequency Selection" prompt="Select a Payment Freqency from the list." sqref="AD6:AD32" xr:uid="{00000000-0002-0000-0600-000006000000}">
      <formula1>"MO, QT, SA, AN"</formula1>
    </dataValidation>
    <dataValidation type="list" showErrorMessage="1" errorTitle="Input Error" error="You must select a value from the list." promptTitle="Payment Timing Selection" prompt="Select a Payment Timing from the list." sqref="AE6:AE32" xr:uid="{00000000-0002-0000-0600-000007000000}">
      <formula1>"Advance, Arrears"</formula1>
    </dataValidation>
    <dataValidation type="decimal" allowBlank="1" showErrorMessage="1" errorTitle="Input Error" error="The Capitalized Amount must be greater than zero (0)." promptTitle="Capitlaized Value Entry" prompt="Enter the amount of the RoU Asset to be capitalized, including any residual value." sqref="AM9:AM10 AM13 AM16:AM17 AM21:AM22" xr:uid="{00000000-0002-0000-0600-000008000000}">
      <formula1>0.01</formula1>
      <formula2>999999999.99</formula2>
    </dataValidation>
    <dataValidation type="decimal" allowBlank="1" showErrorMessage="1" errorTitle="Input Error" error="The Residual Amount cannot be negative." promptTitle="Residual Value Entry" prompt="Enter the amount of the RoU Asset residual value, if any." sqref="AN9:AN10 AN13 AN16:AN17 AN21:AN22" xr:uid="{00000000-0002-0000-0600-000009000000}">
      <formula1>0</formula1>
      <formula2>999999999.99</formula2>
    </dataValidation>
    <dataValidation type="textLength" operator="lessThanOrEqual" allowBlank="1" showErrorMessage="1" errorTitle="Input Error" error="100 character maximum has been exceeded." promptTitle="Related Party Lease Designation" prompt="If this is a Related Party lease, enter the name of the related party (100 character maximum, including spaces)." sqref="AO6:AO32" xr:uid="{00000000-0002-0000-0600-00000A000000}">
      <formula1>100</formula1>
    </dataValidation>
    <dataValidation type="list" allowBlank="1" showErrorMessage="1" errorTitle="Input Error" error="Select a value from the list." promptTitle="Sale Leaseback Designation" prompt="Indicate a Sale / Leaseback with a Y." sqref="AP6:AP32" xr:uid="{00000000-0002-0000-0600-00000B000000}">
      <formula1>"Y, N"</formula1>
    </dataValidation>
    <dataValidation type="textLength" allowBlank="1" showErrorMessage="1" errorTitle="Input Error" error="Enter 12-character code:_x000a_3-digit agency-YYYY-###_x000a_Example: 020-2019-003" promptTitle="Lease/Leaseback Designation" prompt="Enter 12-character code of the related lease:_x000a_3-digit agency-YYYY-###_x000a_Example: 020-2019-003" sqref="AQ6:AQ32" xr:uid="{00000000-0002-0000-0600-00000C000000}">
      <formula1>12</formula1>
      <formula2>12</formula2>
    </dataValidation>
    <dataValidation type="list" showErrorMessage="1" errorTitle="Input Error" error="You must select a value from the list." promptTitle="Agreement Type Selection" prompt="Required data;_x000a_Select a value from the list." sqref="I6:I32" xr:uid="{00000000-0002-0000-0600-00000D000000}">
      <formula1>AgrmtTypeLU</formula1>
    </dataValidation>
    <dataValidation type="list" showErrorMessage="1" errorTitle="Input Error" error="You must select a value from the list." promptTitle="Agreement Status Selection" prompt="Required;_x000a_Select a value from the list." sqref="J6:J32" xr:uid="{00000000-0002-0000-0600-00000E000000}">
      <formula1>AgrmtStatusLU</formula1>
    </dataValidation>
    <dataValidation type="list" showErrorMessage="1" errorTitle="Input Error" error="You must select a value from the list." promptTitle="Provision Type Selection" prompt="Required data;_x000a_Select a value from the list." sqref="W6:W32" xr:uid="{00000000-0002-0000-0600-00000F000000}">
      <formula1>ProvTypeLU</formula1>
    </dataValidation>
    <dataValidation type="list" showErrorMessage="1" errorTitle="Input Error" error="You must select a value from the list." promptTitle="Reporting Category Selection" prompt="Required data;_x000a_Select a value from the list." sqref="Z6:Z32" xr:uid="{00000000-0002-0000-0600-000010000000}">
      <formula1>RptCatLU</formula1>
    </dataValidation>
    <dataValidation type="date" operator="greaterThan" allowBlank="1" showErrorMessage="1" errorTitle="Input Error" error="End Date must be after the start date." promptTitle="Inital Period End Date Entry" prompt="Enter the end date of the inital agreement period." sqref="M6:M32" xr:uid="{00000000-0002-0000-0600-000011000000}">
      <formula1>L6</formula1>
    </dataValidation>
    <dataValidation type="textLength" operator="lessThanOrEqual" showErrorMessage="1" errorTitle="Input Error" error="Comments cannot exceed 300 characters." promptTitle="Comments Data Entry" prompt="Enter the documentation comments up to 300 characters, including spaces." sqref="R6:R32" xr:uid="{00000000-0002-0000-0600-000012000000}">
      <formula1>300</formula1>
    </dataValidation>
    <dataValidation operator="greaterThan" showInputMessage="1" showErrorMessage="1" sqref="S6:S32" xr:uid="{00000000-0002-0000-0600-000013000000}"/>
    <dataValidation type="list" showErrorMessage="1" errorTitle="Input Error" error="Entry Required_x000a_Select from List" promptTitle="Field is Rquired" prompt="Indicate whether or not this is a special case." sqref="D6 D10 D17 D22" xr:uid="{00000000-0002-0000-0600-000014000000}">
      <formula1>"N, Prov, Amt"</formula1>
    </dataValidation>
    <dataValidation type="textLength" showErrorMessage="1" errorTitle="Input Error" error="Required field;_x000a_No more than 12 characters" promptTitle="Provision Reference Required" prompt="This field is required;_x000a_There is a 12-character maximum length, including spaces" sqref="T9:T10 T6 T17 T22 U6:U32" xr:uid="{00000000-0002-0000-0600-000015000000}">
      <formula1>1</formula1>
      <formula2>12</formula2>
    </dataValidation>
    <dataValidation type="date" operator="greaterThan" showErrorMessage="1" errorTitle="Input Error" error="End Date must be after the start date." promptTitle="Included Option End Date Entry" prompt="Enter the end date of the included option periods." sqref="Q8 O6:O32" xr:uid="{00000000-0002-0000-0600-000016000000}">
      <formula1>N6</formula1>
    </dataValidation>
    <dataValidation type="date" operator="greaterThan" showErrorMessage="1" errorTitle="Input Error" error="End Date must be after the start date." promptTitle="Excluded Option End Date Entry" prompt="Enter the end date of the excluded option periods." sqref="Q6:Q7 Q9:Q10 Q17 Q22" xr:uid="{00000000-0002-0000-0600-000017000000}">
      <formula1>P6</formula1>
    </dataValidation>
    <dataValidation type="list" showErrorMessage="1" errorTitle="Input Error" error="Entry Required_x000a_Select from List" promptTitle="Field is Rquired" prompt="Indicate whether or not this is a special case." sqref="D7:D9 D11:D16 D18:D21 D23:D32" xr:uid="{00000000-0002-0000-0600-000018000000}">
      <formula1>"None, Multi-Provision, Multi-Amount"</formula1>
    </dataValidation>
    <dataValidation allowBlank="1" showErrorMessage="1" errorTitle="Input Error" error="The Deferred Inflow must be  greater than zero (0) if the line is not a Multi-Payment line." promptTitle="Capitlaized Value Entry" prompt="Enter the amount of the RoU Asset to be capitalized, including any residual value." sqref="AM6:AM8 AM11:AM12 AM14:AM15 AM18:AM20 AM23:AM32" xr:uid="{00000000-0002-0000-0600-000019000000}"/>
    <dataValidation type="list" showErrorMessage="1" errorTitle="Input Error" error="Seelct a value from the list." promptTitle="G/L Account Entry" prompt="Select a G/L Account from the list." sqref="AR6:AW32" xr:uid="{00000000-0002-0000-0600-00001A000000}">
      <formula1>GLAccountLU</formula1>
    </dataValidation>
  </dataValidations>
  <pageMargins left="0.7" right="0.7" top="0.75" bottom="0.75" header="0.3" footer="0.3"/>
  <legacyDrawing r:id="rId1"/>
  <tableParts count="1">
    <tablePart r:id="rId2"/>
  </tableParts>
  <extLst>
    <ext xmlns:x14="http://schemas.microsoft.com/office/spreadsheetml/2009/9/main" uri="{CCE6A557-97BC-4b89-ADB6-D9C93CAAB3DF}">
      <x14:dataValidations xmlns:xm="http://schemas.microsoft.com/office/excel/2006/main" count="1">
        <x14:dataValidation type="list" showErrorMessage="1" errorTitle="Input Error" error="You must select a value from the list." promptTitle="RoU Asset Amortization Selection" prompt="Required data;_x000a_Select a value from the list." xr:uid="{00000000-0002-0000-0600-00001B000000}">
          <x14:formula1>
            <xm:f>'Ref-AmortMethod'!$A$2:$A$4</xm:f>
          </x14:formula1>
          <xm:sqref>AN6:AN8 AN11:AN12 AN14:AN15 AN18:AN20 AN23:AN32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24"/>
  <sheetViews>
    <sheetView workbookViewId="0">
      <pane ySplit="3" topLeftCell="A61" activePane="bottomLeft" state="frozen"/>
      <selection pane="bottomLeft" activeCell="B81" sqref="B81"/>
    </sheetView>
  </sheetViews>
  <sheetFormatPr defaultRowHeight="15" x14ac:dyDescent="0.25"/>
  <cols>
    <col min="1" max="1" width="19" customWidth="1"/>
    <col min="2" max="2" width="41.7109375" bestFit="1" customWidth="1"/>
    <col min="3" max="3" width="12.7109375" bestFit="1" customWidth="1"/>
    <col min="4" max="4" width="51.85546875" bestFit="1" customWidth="1"/>
  </cols>
  <sheetData>
    <row r="1" spans="1:5" ht="15.75" x14ac:dyDescent="0.25">
      <c r="A1" s="8" t="s">
        <v>253</v>
      </c>
      <c r="B1" s="9"/>
      <c r="C1" s="10"/>
      <c r="D1" s="11"/>
    </row>
    <row r="2" spans="1:5" x14ac:dyDescent="0.25">
      <c r="A2" s="7" t="s">
        <v>17</v>
      </c>
      <c r="B2" s="7" t="s">
        <v>18</v>
      </c>
      <c r="C2" s="3" t="str">
        <f>"Max: " &amp; MAX(AgencyRef[LenTest])</f>
        <v>Max: 45</v>
      </c>
    </row>
    <row r="3" spans="1:5" x14ac:dyDescent="0.25">
      <c r="A3" s="4" t="s">
        <v>19</v>
      </c>
      <c r="B3" s="4" t="s">
        <v>20</v>
      </c>
      <c r="C3" s="4" t="s">
        <v>254</v>
      </c>
      <c r="D3" s="4" t="s">
        <v>255</v>
      </c>
    </row>
    <row r="4" spans="1:5" x14ac:dyDescent="0.25">
      <c r="A4" s="5" t="s">
        <v>21</v>
      </c>
      <c r="B4" s="5" t="s">
        <v>22</v>
      </c>
      <c r="C4" s="6">
        <f>LEN(AgencyRef[[#This Row],[Entity Description]])</f>
        <v>17</v>
      </c>
      <c r="D4" s="6" t="str">
        <f>AgencyRef[[#This Row],[Entity Code]]&amp; "-" &amp;AgencyRef[[#This Row],[Entity Description]]</f>
        <v>00000-State of Oklahoma</v>
      </c>
      <c r="E4" s="6"/>
    </row>
    <row r="5" spans="1:5" x14ac:dyDescent="0.25">
      <c r="A5" s="5" t="s">
        <v>23</v>
      </c>
      <c r="B5" s="5" t="s">
        <v>24</v>
      </c>
      <c r="C5" s="6">
        <f>LEN(AgencyRef[[#This Row],[Entity Description]])</f>
        <v>27</v>
      </c>
      <c r="D5" s="6" t="str">
        <f>AgencyRef[[#This Row],[Entity Code]]&amp; "-" &amp;AgencyRef[[#This Row],[Entity Description]]</f>
        <v>02000-Public Board of Accountancy</v>
      </c>
      <c r="E5" s="6"/>
    </row>
    <row r="6" spans="1:5" x14ac:dyDescent="0.25">
      <c r="A6" s="5" t="s">
        <v>25</v>
      </c>
      <c r="B6" s="5" t="s">
        <v>26</v>
      </c>
      <c r="C6" s="6">
        <f>LEN(AgencyRef[[#This Row],[Entity Description]])</f>
        <v>26</v>
      </c>
      <c r="D6" s="6" t="str">
        <f>AgencyRef[[#This Row],[Entity Code]]&amp; "-" &amp;AgencyRef[[#This Row],[Entity Description]]</f>
        <v>02200-Oklahoma Abstractors Board</v>
      </c>
      <c r="E6" s="6"/>
    </row>
    <row r="7" spans="1:5" x14ac:dyDescent="0.25">
      <c r="A7" s="5" t="s">
        <v>27</v>
      </c>
      <c r="B7" s="5" t="s">
        <v>28</v>
      </c>
      <c r="C7" s="6">
        <f>LEN(AgencyRef[[#This Row],[Entity Description]])</f>
        <v>19</v>
      </c>
      <c r="D7" s="6" t="str">
        <f>AgencyRef[[#This Row],[Entity Code]]&amp; "-" &amp;AgencyRef[[#This Row],[Entity Description]]</f>
        <v>02500-Military Department</v>
      </c>
      <c r="E7" s="6"/>
    </row>
    <row r="8" spans="1:5" x14ac:dyDescent="0.25">
      <c r="A8" s="5" t="s">
        <v>29</v>
      </c>
      <c r="B8" s="5" t="s">
        <v>30</v>
      </c>
      <c r="C8" s="6">
        <f>LEN(AgencyRef[[#This Row],[Entity Description]])</f>
        <v>15</v>
      </c>
      <c r="D8" s="6" t="str">
        <f>AgencyRef[[#This Row],[Entity Code]]&amp; "-" &amp;AgencyRef[[#This Row],[Entity Description]]</f>
        <v>03000-ABLE Commission</v>
      </c>
      <c r="E8" s="6"/>
    </row>
    <row r="9" spans="1:5" x14ac:dyDescent="0.25">
      <c r="A9" s="5" t="s">
        <v>31</v>
      </c>
      <c r="B9" s="5" t="s">
        <v>32</v>
      </c>
      <c r="C9" s="6">
        <f>LEN(AgencyRef[[#This Row],[Entity Description]])</f>
        <v>18</v>
      </c>
      <c r="D9" s="6" t="str">
        <f>AgencyRef[[#This Row],[Entity Code]]&amp; "-" &amp;AgencyRef[[#This Row],[Entity Description]]</f>
        <v>03800-Sorghum Commission</v>
      </c>
      <c r="E9" s="6"/>
    </row>
    <row r="10" spans="1:5" x14ac:dyDescent="0.25">
      <c r="A10" s="5" t="s">
        <v>33</v>
      </c>
      <c r="B10" s="5" t="s">
        <v>34</v>
      </c>
      <c r="C10" s="6">
        <f>LEN(AgencyRef[[#This Row],[Entity Description]])</f>
        <v>23</v>
      </c>
      <c r="D10" s="6" t="str">
        <f>AgencyRef[[#This Row],[Entity Code]]&amp; "-" &amp;AgencyRef[[#This Row],[Entity Description]]</f>
        <v>03900-Boll Weevil Eradication</v>
      </c>
      <c r="E10" s="6"/>
    </row>
    <row r="11" spans="1:5" x14ac:dyDescent="0.25">
      <c r="A11" s="5" t="s">
        <v>35</v>
      </c>
      <c r="B11" s="5" t="s">
        <v>36</v>
      </c>
      <c r="C11" s="6">
        <f>LEN(AgencyRef[[#This Row],[Entity Description]])</f>
        <v>22</v>
      </c>
      <c r="D11" s="6" t="str">
        <f>AgencyRef[[#This Row],[Entity Code]]&amp; "-" &amp;AgencyRef[[#This Row],[Entity Description]]</f>
        <v>04000-Agriculture Department</v>
      </c>
      <c r="E11" s="6"/>
    </row>
    <row r="12" spans="1:5" x14ac:dyDescent="0.25">
      <c r="A12" s="5" t="s">
        <v>37</v>
      </c>
      <c r="B12" s="5" t="s">
        <v>38</v>
      </c>
      <c r="C12" s="6">
        <f>LEN(AgencyRef[[#This Row],[Entity Description]])</f>
        <v>25</v>
      </c>
      <c r="D12" s="6" t="str">
        <f>AgencyRef[[#This Row],[Entity Code]]&amp; "-" &amp;AgencyRef[[#This Row],[Entity Description]]</f>
        <v>04500-Licensed Architects Board</v>
      </c>
      <c r="E12" s="6"/>
    </row>
    <row r="13" spans="1:5" x14ac:dyDescent="0.25">
      <c r="A13" s="5" t="s">
        <v>39</v>
      </c>
      <c r="B13" s="5" t="s">
        <v>40</v>
      </c>
      <c r="C13" s="6">
        <f>LEN(AgencyRef[[#This Row],[Entity Description]])</f>
        <v>23</v>
      </c>
      <c r="D13" s="6" t="str">
        <f>AgencyRef[[#This Row],[Entity Code]]&amp; "-" &amp;AgencyRef[[#This Row],[Entity Description]]</f>
        <v>04700-Indigent Defense System</v>
      </c>
      <c r="E13" s="6"/>
    </row>
    <row r="14" spans="1:5" x14ac:dyDescent="0.25">
      <c r="A14" s="5" t="s">
        <v>41</v>
      </c>
      <c r="B14" s="5" t="s">
        <v>42</v>
      </c>
      <c r="C14" s="6">
        <f>LEN(AgencyRef[[#This Row],[Entity Description]])</f>
        <v>16</v>
      </c>
      <c r="D14" s="6" t="str">
        <f>AgencyRef[[#This Row],[Entity Code]]&amp; "-" &amp;AgencyRef[[#This Row],[Entity Description]]</f>
        <v>04900-Attorney General</v>
      </c>
      <c r="E14" s="6"/>
    </row>
    <row r="15" spans="1:5" x14ac:dyDescent="0.25">
      <c r="A15" s="5" t="s">
        <v>43</v>
      </c>
      <c r="B15" s="5" t="s">
        <v>44</v>
      </c>
      <c r="C15" s="6">
        <f>LEN(AgencyRef[[#This Row],[Entity Description]])</f>
        <v>18</v>
      </c>
      <c r="D15" s="6" t="str">
        <f>AgencyRef[[#This Row],[Entity Code]]&amp; "-" &amp;AgencyRef[[#This Row],[Entity Description]]</f>
        <v>05500-State Arts Council</v>
      </c>
      <c r="E15" s="6"/>
    </row>
    <row r="16" spans="1:5" x14ac:dyDescent="0.25">
      <c r="A16" s="5" t="s">
        <v>45</v>
      </c>
      <c r="B16" s="5" t="s">
        <v>46</v>
      </c>
      <c r="C16" s="6">
        <f>LEN(AgencyRef[[#This Row],[Entity Description]])</f>
        <v>31</v>
      </c>
      <c r="D16" s="6" t="str">
        <f>AgencyRef[[#This Row],[Entity Code]]&amp; "-" &amp;AgencyRef[[#This Row],[Entity Description]]</f>
        <v>06000-Oklahoma Aeronautics Commission</v>
      </c>
      <c r="E16" s="6"/>
    </row>
    <row r="17" spans="1:5" x14ac:dyDescent="0.25">
      <c r="A17" s="5" t="s">
        <v>47</v>
      </c>
      <c r="B17" s="5" t="s">
        <v>48</v>
      </c>
      <c r="C17" s="6">
        <f>LEN(AgencyRef[[#This Row],[Entity Description]])</f>
        <v>24</v>
      </c>
      <c r="D17" s="6" t="str">
        <f>AgencyRef[[#This Row],[Entity Code]]&amp; "-" &amp;AgencyRef[[#This Row],[Entity Description]]</f>
        <v>06500-State Banking Commission</v>
      </c>
      <c r="E17" s="6"/>
    </row>
    <row r="18" spans="1:5" x14ac:dyDescent="0.25">
      <c r="A18" s="135" t="s">
        <v>689</v>
      </c>
      <c r="B18" s="5" t="s">
        <v>690</v>
      </c>
      <c r="C18" s="6">
        <f>LEN(AgencyRef[[#This Row],[Entity Description]])</f>
        <v>25</v>
      </c>
      <c r="D18" s="6" t="str">
        <f>AgencyRef[[#This Row],[Entity Code]]&amp; "-" &amp;AgencyRef[[#This Row],[Entity Description]]</f>
        <v>08500-Oklahoma Broadband Office</v>
      </c>
      <c r="E18" s="6"/>
    </row>
    <row r="19" spans="1:5" x14ac:dyDescent="0.25">
      <c r="A19" s="5" t="s">
        <v>49</v>
      </c>
      <c r="B19" s="5" t="s">
        <v>50</v>
      </c>
      <c r="C19" s="6">
        <f>LEN(AgencyRef[[#This Row],[Entity Description]])</f>
        <v>44</v>
      </c>
      <c r="D19" s="6" t="str">
        <f>AgencyRef[[#This Row],[Entity Code]]&amp; "-" &amp;AgencyRef[[#This Row],[Entity Description]]</f>
        <v>09000-Office of Management and Enterprise Services</v>
      </c>
      <c r="E19" s="6"/>
    </row>
    <row r="20" spans="1:5" x14ac:dyDescent="0.25">
      <c r="A20" s="5" t="s">
        <v>51</v>
      </c>
      <c r="B20" s="5" t="s">
        <v>52</v>
      </c>
      <c r="C20" s="6">
        <f>LEN(AgencyRef[[#This Row],[Entity Description]])</f>
        <v>24</v>
      </c>
      <c r="D20" s="6" t="str">
        <f>AgencyRef[[#This Row],[Entity Code]]&amp; "-" &amp;AgencyRef[[#This Row],[Entity Description]]</f>
        <v>09100-Building Bond Commission</v>
      </c>
      <c r="E20" s="6"/>
    </row>
    <row r="21" spans="1:5" x14ac:dyDescent="0.25">
      <c r="A21" s="5" t="s">
        <v>53</v>
      </c>
      <c r="B21" s="5" t="s">
        <v>54</v>
      </c>
      <c r="C21" s="6">
        <f>LEN(AgencyRef[[#This Row],[Entity Description]])</f>
        <v>4</v>
      </c>
      <c r="D21" s="6" t="str">
        <f>AgencyRef[[#This Row],[Entity Code]]&amp; "-" &amp;AgencyRef[[#This Row],[Entity Description]]</f>
        <v>09200-TSET</v>
      </c>
      <c r="E21" s="6"/>
    </row>
    <row r="22" spans="1:5" x14ac:dyDescent="0.25">
      <c r="A22" s="5" t="s">
        <v>55</v>
      </c>
      <c r="B22" s="5" t="s">
        <v>56</v>
      </c>
      <c r="C22" s="6">
        <f>LEN(AgencyRef[[#This Row],[Entity Description]])</f>
        <v>38</v>
      </c>
      <c r="D22" s="6" t="str">
        <f>AgencyRef[[#This Row],[Entity Code]]&amp; "-" &amp;AgencyRef[[#This Row],[Entity Description]]</f>
        <v>10500-Oklahoma Capitol Improvement Authority</v>
      </c>
      <c r="E22" s="6"/>
    </row>
    <row r="23" spans="1:5" x14ac:dyDescent="0.25">
      <c r="A23" s="5" t="s">
        <v>57</v>
      </c>
      <c r="B23" s="5" t="s">
        <v>58</v>
      </c>
      <c r="C23" s="6">
        <f>LEN(AgencyRef[[#This Row],[Entity Description]])</f>
        <v>19</v>
      </c>
      <c r="D23" s="6" t="str">
        <f>AgencyRef[[#This Row],[Entity Code]]&amp; "-" &amp;AgencyRef[[#This Row],[Entity Description]]</f>
        <v>12500-Department of Mines</v>
      </c>
      <c r="E23" s="6"/>
    </row>
    <row r="24" spans="1:5" x14ac:dyDescent="0.25">
      <c r="A24" s="5" t="s">
        <v>59</v>
      </c>
      <c r="B24" s="5" t="s">
        <v>60</v>
      </c>
      <c r="C24" s="6">
        <f>LEN(AgencyRef[[#This Row],[Entity Description]])</f>
        <v>32</v>
      </c>
      <c r="D24" s="6" t="str">
        <f>AgencyRef[[#This Row],[Entity Code]]&amp; "-" &amp;AgencyRef[[#This Row],[Entity Description]]</f>
        <v>12700-Commission on Children and Youth</v>
      </c>
      <c r="E24" s="6"/>
    </row>
    <row r="25" spans="1:5" x14ac:dyDescent="0.25">
      <c r="A25" s="5" t="s">
        <v>61</v>
      </c>
      <c r="B25" s="5" t="s">
        <v>62</v>
      </c>
      <c r="C25" s="6">
        <f>LEN(AgencyRef[[#This Row],[Entity Description]])</f>
        <v>25</v>
      </c>
      <c r="D25" s="6" t="str">
        <f>AgencyRef[[#This Row],[Entity Code]]&amp; "-" &amp;AgencyRef[[#This Row],[Entity Description]]</f>
        <v>13100-Department of Corrections</v>
      </c>
      <c r="E25" s="6"/>
    </row>
    <row r="26" spans="1:5" x14ac:dyDescent="0.25">
      <c r="A26" s="5" t="s">
        <v>63</v>
      </c>
      <c r="B26" s="5" t="s">
        <v>64</v>
      </c>
      <c r="C26" s="6">
        <f>LEN(AgencyRef[[#This Row],[Entity Description]])</f>
        <v>14</v>
      </c>
      <c r="D26" s="6" t="str">
        <f>AgencyRef[[#This Row],[Entity Code]]&amp; "-" &amp;AgencyRef[[#This Row],[Entity Description]]</f>
        <v>14000-Podiatry Board</v>
      </c>
      <c r="E26" s="6"/>
    </row>
    <row r="27" spans="1:5" x14ac:dyDescent="0.25">
      <c r="A27" s="5" t="s">
        <v>65</v>
      </c>
      <c r="B27" s="5" t="s">
        <v>66</v>
      </c>
      <c r="C27" s="6">
        <f>LEN(AgencyRef[[#This Row],[Entity Description]])</f>
        <v>28</v>
      </c>
      <c r="D27" s="6" t="str">
        <f>AgencyRef[[#This Row],[Entity Code]]&amp; "-" &amp;AgencyRef[[#This Row],[Entity Description]]</f>
        <v>14500-Chiropractic Examiners Board</v>
      </c>
      <c r="E27" s="6"/>
    </row>
    <row r="28" spans="1:5" x14ac:dyDescent="0.25">
      <c r="A28" s="5" t="s">
        <v>67</v>
      </c>
      <c r="B28" s="5" t="s">
        <v>68</v>
      </c>
      <c r="C28" s="6">
        <f>LEN(AgencyRef[[#This Row],[Entity Description]])</f>
        <v>42</v>
      </c>
      <c r="D28" s="6" t="str">
        <f>AgencyRef[[#This Row],[Entity Code]]&amp; "-" &amp;AgencyRef[[#This Row],[Entity Description]]</f>
        <v>14800-State Board of Behavioral Health Licensing</v>
      </c>
      <c r="E28" s="6"/>
    </row>
    <row r="29" spans="1:5" x14ac:dyDescent="0.25">
      <c r="A29" s="5" t="s">
        <v>69</v>
      </c>
      <c r="B29" s="5" t="s">
        <v>70</v>
      </c>
      <c r="C29" s="6">
        <f>LEN(AgencyRef[[#This Row],[Entity Description]])</f>
        <v>19</v>
      </c>
      <c r="D29" s="6" t="str">
        <f>AgencyRef[[#This Row],[Entity Code]]&amp; "-" &amp;AgencyRef[[#This Row],[Entity Description]]</f>
        <v>16000-Commerce Department</v>
      </c>
      <c r="E29" s="6"/>
    </row>
    <row r="30" spans="1:5" x14ac:dyDescent="0.25">
      <c r="A30" s="5" t="s">
        <v>71</v>
      </c>
      <c r="B30" s="5" t="s">
        <v>72</v>
      </c>
      <c r="C30" s="6">
        <f>LEN(AgencyRef[[#This Row],[Entity Description]])</f>
        <v>29</v>
      </c>
      <c r="D30" s="6" t="str">
        <f>AgencyRef[[#This Row],[Entity Code]]&amp; "-" &amp;AgencyRef[[#This Row],[Entity Description]]</f>
        <v>17000-Construction Industries Board</v>
      </c>
      <c r="E30" s="6"/>
    </row>
    <row r="31" spans="1:5" x14ac:dyDescent="0.25">
      <c r="A31" s="5" t="s">
        <v>73</v>
      </c>
      <c r="B31" s="5" t="s">
        <v>74</v>
      </c>
      <c r="C31" s="6">
        <f>LEN(AgencyRef[[#This Row],[Entity Description]])</f>
        <v>22</v>
      </c>
      <c r="D31" s="6" t="str">
        <f>AgencyRef[[#This Row],[Entity Code]]&amp; "-" &amp;AgencyRef[[#This Row],[Entity Description]]</f>
        <v>18500-Corporation Commission</v>
      </c>
      <c r="E31" s="6"/>
    </row>
    <row r="32" spans="1:5" x14ac:dyDescent="0.25">
      <c r="A32" s="5" t="s">
        <v>75</v>
      </c>
      <c r="B32" s="5" t="s">
        <v>76</v>
      </c>
      <c r="C32" s="6">
        <f>LEN(AgencyRef[[#This Row],[Entity Description]])</f>
        <v>17</v>
      </c>
      <c r="D32" s="6" t="str">
        <f>AgencyRef[[#This Row],[Entity Code]]&amp; "-" &amp;AgencyRef[[#This Row],[Entity Description]]</f>
        <v>19000-Cosmetology Board</v>
      </c>
      <c r="E32" s="6"/>
    </row>
    <row r="33" spans="1:5" x14ac:dyDescent="0.25">
      <c r="A33" s="5" t="s">
        <v>77</v>
      </c>
      <c r="B33" s="5" t="s">
        <v>78</v>
      </c>
      <c r="C33" s="6">
        <f>LEN(AgencyRef[[#This Row],[Entity Description]])</f>
        <v>25</v>
      </c>
      <c r="D33" s="6" t="str">
        <f>AgencyRef[[#This Row],[Entity Code]]&amp; "-" &amp;AgencyRef[[#This Row],[Entity Description]]</f>
        <v>19900-Court of Criminal Appeals</v>
      </c>
      <c r="E33" s="6"/>
    </row>
    <row r="34" spans="1:5" x14ac:dyDescent="0.25">
      <c r="A34" s="5" t="s">
        <v>79</v>
      </c>
      <c r="B34" s="5" t="s">
        <v>80</v>
      </c>
      <c r="C34" s="6">
        <f>LEN(AgencyRef[[#This Row],[Entity Description]])</f>
        <v>28</v>
      </c>
      <c r="D34" s="6" t="str">
        <f>AgencyRef[[#This Row],[Entity Code]]&amp; "-" &amp;AgencyRef[[#This Row],[Entity Description]]</f>
        <v>20400-JM Davis Memorial Commission</v>
      </c>
      <c r="E34" s="6"/>
    </row>
    <row r="35" spans="1:5" x14ac:dyDescent="0.25">
      <c r="A35" s="5" t="s">
        <v>81</v>
      </c>
      <c r="B35" s="5" t="s">
        <v>82</v>
      </c>
      <c r="C35" s="6">
        <f>LEN(AgencyRef[[#This Row],[Entity Description]])</f>
        <v>18</v>
      </c>
      <c r="D35" s="6" t="str">
        <f>AgencyRef[[#This Row],[Entity Code]]&amp; "-" &amp;AgencyRef[[#This Row],[Entity Description]]</f>
        <v>21500-State Dental Board</v>
      </c>
      <c r="E35" s="6"/>
    </row>
    <row r="36" spans="1:5" x14ac:dyDescent="0.25">
      <c r="A36" s="5" t="s">
        <v>83</v>
      </c>
      <c r="B36" s="5" t="s">
        <v>84</v>
      </c>
      <c r="C36" s="6">
        <f>LEN(AgencyRef[[#This Row],[Entity Description]])</f>
        <v>15</v>
      </c>
      <c r="D36" s="6" t="str">
        <f>AgencyRef[[#This Row],[Entity Code]]&amp; "-" &amp;AgencyRef[[#This Row],[Entity Description]]</f>
        <v>21900-District Courts</v>
      </c>
      <c r="E36" s="6"/>
    </row>
    <row r="37" spans="1:5" x14ac:dyDescent="0.25">
      <c r="A37" s="5" t="s">
        <v>85</v>
      </c>
      <c r="B37" s="5" t="s">
        <v>86</v>
      </c>
      <c r="C37" s="6">
        <f>LEN(AgencyRef[[#This Row],[Entity Description]])</f>
        <v>26</v>
      </c>
      <c r="D37" s="6" t="str">
        <f>AgencyRef[[#This Row],[Entity Code]]&amp; "-" &amp;AgencyRef[[#This Row],[Entity Description]]</f>
        <v>22000-District Attorneys Council</v>
      </c>
      <c r="E37" s="6"/>
    </row>
    <row r="38" spans="1:5" x14ac:dyDescent="0.25">
      <c r="A38" s="5" t="s">
        <v>87</v>
      </c>
      <c r="B38" s="5" t="s">
        <v>88</v>
      </c>
      <c r="C38" s="6">
        <f>LEN(AgencyRef[[#This Row],[Entity Description]])</f>
        <v>23</v>
      </c>
      <c r="D38" s="6" t="str">
        <f>AgencyRef[[#This Row],[Entity Code]]&amp; "-" &amp;AgencyRef[[#This Row],[Entity Description]]</f>
        <v>26500-Department of Education</v>
      </c>
      <c r="E38" s="6"/>
    </row>
    <row r="39" spans="1:5" x14ac:dyDescent="0.25">
      <c r="A39" s="5" t="s">
        <v>89</v>
      </c>
      <c r="B39" s="5" t="s">
        <v>90</v>
      </c>
      <c r="C39" s="6">
        <f>LEN(AgencyRef[[#This Row],[Entity Description]])</f>
        <v>14</v>
      </c>
      <c r="D39" s="6" t="str">
        <f>AgencyRef[[#This Row],[Entity Code]]&amp; "-" &amp;AgencyRef[[#This Row],[Entity Description]]</f>
        <v>27000-Election Board</v>
      </c>
      <c r="E39" s="6"/>
    </row>
    <row r="40" spans="1:5" x14ac:dyDescent="0.25">
      <c r="A40" s="5" t="s">
        <v>91</v>
      </c>
      <c r="B40" s="5"/>
      <c r="C40" s="6">
        <f>LEN(AgencyRef[[#This Row],[Entity Description]])</f>
        <v>0</v>
      </c>
      <c r="D40" s="6" t="str">
        <f>AgencyRef[[#This Row],[Entity Code]]&amp; "-" &amp;AgencyRef[[#This Row],[Entity Description]]</f>
        <v>27500-</v>
      </c>
      <c r="E40" s="6"/>
    </row>
    <row r="41" spans="1:5" x14ac:dyDescent="0.25">
      <c r="A41" s="5" t="s">
        <v>92</v>
      </c>
      <c r="B41" s="5" t="s">
        <v>93</v>
      </c>
      <c r="C41" s="6">
        <f>LEN(AgencyRef[[#This Row],[Entity Description]])</f>
        <v>22</v>
      </c>
      <c r="D41" s="6" t="str">
        <f>AgencyRef[[#This Row],[Entity Code]]&amp; "-" &amp;AgencyRef[[#This Row],[Entity Description]]</f>
        <v>28500-Oklahoma Funeral Board</v>
      </c>
      <c r="E41" s="6"/>
    </row>
    <row r="42" spans="1:5" x14ac:dyDescent="0.25">
      <c r="A42" s="5" t="s">
        <v>94</v>
      </c>
      <c r="B42" s="5" t="s">
        <v>95</v>
      </c>
      <c r="C42" s="6">
        <f>LEN(AgencyRef[[#This Row],[Entity Description]])</f>
        <v>30</v>
      </c>
      <c r="D42" s="6" t="str">
        <f>AgencyRef[[#This Row],[Entity Code]]&amp; "-" &amp;AgencyRef[[#This Row],[Entity Description]]</f>
        <v>29000-Employment Security Commission</v>
      </c>
      <c r="E42" s="6"/>
    </row>
    <row r="43" spans="1:5" x14ac:dyDescent="0.25">
      <c r="A43" s="5" t="s">
        <v>96</v>
      </c>
      <c r="B43" s="5" t="s">
        <v>97</v>
      </c>
      <c r="C43" s="6">
        <f>LEN(AgencyRef[[#This Row],[Entity Description]])</f>
        <v>32</v>
      </c>
      <c r="D43" s="6" t="str">
        <f>AgencyRef[[#This Row],[Entity Code]]&amp; "-" &amp;AgencyRef[[#This Row],[Entity Description]]</f>
        <v>29200-Environmental Quality Department</v>
      </c>
      <c r="E43" s="6"/>
    </row>
    <row r="44" spans="1:5" x14ac:dyDescent="0.25">
      <c r="A44" s="5" t="s">
        <v>98</v>
      </c>
      <c r="B44" s="5" t="s">
        <v>99</v>
      </c>
      <c r="C44" s="6">
        <f>LEN(AgencyRef[[#This Row],[Entity Description]])</f>
        <v>17</v>
      </c>
      <c r="D44" s="6" t="str">
        <f>AgencyRef[[#This Row],[Entity Code]]&amp; "-" &amp;AgencyRef[[#This Row],[Entity Description]]</f>
        <v>29600-Ethics Commission</v>
      </c>
      <c r="E44" s="6"/>
    </row>
    <row r="45" spans="1:5" x14ac:dyDescent="0.25">
      <c r="A45" s="5" t="s">
        <v>100</v>
      </c>
      <c r="B45" s="5" t="s">
        <v>101</v>
      </c>
      <c r="C45" s="6">
        <f>LEN(AgencyRef[[#This Row],[Entity Description]])</f>
        <v>27</v>
      </c>
      <c r="D45" s="6" t="str">
        <f>AgencyRef[[#This Row],[Entity Code]]&amp; "-" &amp;AgencyRef[[#This Row],[Entity Description]]</f>
        <v>29800-Merit Protection Commission</v>
      </c>
      <c r="E45" s="6"/>
    </row>
    <row r="46" spans="1:5" x14ac:dyDescent="0.25">
      <c r="A46" s="5" t="s">
        <v>102</v>
      </c>
      <c r="B46" s="5" t="s">
        <v>103</v>
      </c>
      <c r="C46" s="6">
        <f>LEN(AgencyRef[[#This Row],[Entity Description]])</f>
        <v>27</v>
      </c>
      <c r="D46" s="6" t="str">
        <f>AgencyRef[[#This Row],[Entity Code]]&amp; "-" &amp;AgencyRef[[#This Row],[Entity Description]]</f>
        <v>30000-State Auditor and Inspector</v>
      </c>
      <c r="E46" s="6"/>
    </row>
    <row r="47" spans="1:5" x14ac:dyDescent="0.25">
      <c r="A47" s="5" t="s">
        <v>104</v>
      </c>
      <c r="B47" s="5" t="s">
        <v>105</v>
      </c>
      <c r="C47" s="6">
        <f>LEN(AgencyRef[[#This Row],[Entity Description]])</f>
        <v>16</v>
      </c>
      <c r="D47" s="6" t="str">
        <f>AgencyRef[[#This Row],[Entity Code]]&amp; "-" &amp;AgencyRef[[#This Row],[Entity Description]]</f>
        <v>30500-Governor's Board</v>
      </c>
      <c r="E47" s="6"/>
    </row>
    <row r="48" spans="1:5" x14ac:dyDescent="0.25">
      <c r="A48" s="5" t="s">
        <v>106</v>
      </c>
      <c r="B48" s="5" t="s">
        <v>107</v>
      </c>
      <c r="C48" s="6">
        <f>LEN(AgencyRef[[#This Row],[Entity Description]])</f>
        <v>23</v>
      </c>
      <c r="D48" s="6" t="str">
        <f>AgencyRef[[#This Row],[Entity Code]]&amp; "-" &amp;AgencyRef[[#This Row],[Entity Description]]</f>
        <v>30600-Pardon and Parole Board</v>
      </c>
      <c r="E48" s="6"/>
    </row>
    <row r="49" spans="1:5" x14ac:dyDescent="0.25">
      <c r="A49" s="5" t="s">
        <v>108</v>
      </c>
      <c r="B49" s="5" t="s">
        <v>109</v>
      </c>
      <c r="C49" s="6">
        <f>LEN(AgencyRef[[#This Row],[Entity Description]])</f>
        <v>33</v>
      </c>
      <c r="D49" s="6" t="str">
        <f>AgencyRef[[#This Row],[Entity Code]]&amp; "-" &amp;AgencyRef[[#This Row],[Entity Description]]</f>
        <v>30700-Interstate Oil Compact Commission</v>
      </c>
      <c r="E49" s="6"/>
    </row>
    <row r="50" spans="1:5" x14ac:dyDescent="0.25">
      <c r="A50" s="5" t="s">
        <v>110</v>
      </c>
      <c r="B50" s="5" t="s">
        <v>111</v>
      </c>
      <c r="C50" s="6">
        <f>LEN(AgencyRef[[#This Row],[Entity Description]])</f>
        <v>29</v>
      </c>
      <c r="D50" s="6" t="str">
        <f>AgencyRef[[#This Row],[Entity Code]]&amp; "-" &amp;AgencyRef[[#This Row],[Entity Description]]</f>
        <v>30800-State Bureau of Investigation</v>
      </c>
      <c r="E50" s="6"/>
    </row>
    <row r="51" spans="1:5" x14ac:dyDescent="0.25">
      <c r="A51" s="5" t="s">
        <v>112</v>
      </c>
      <c r="B51" s="5" t="s">
        <v>113</v>
      </c>
      <c r="C51" s="6">
        <f>LEN(AgencyRef[[#This Row],[Entity Description]])</f>
        <v>26</v>
      </c>
      <c r="D51" s="6" t="str">
        <f>AgencyRef[[#This Row],[Entity Code]]&amp; "-" &amp;AgencyRef[[#This Row],[Entity Description]]</f>
        <v>30900-Civil Emergency Management</v>
      </c>
      <c r="E51" s="6"/>
    </row>
    <row r="52" spans="1:5" x14ac:dyDescent="0.25">
      <c r="A52" s="5" t="s">
        <v>114</v>
      </c>
      <c r="B52" s="5" t="s">
        <v>115</v>
      </c>
      <c r="C52" s="6">
        <f>LEN(AgencyRef[[#This Row],[Entity Description]])</f>
        <v>19</v>
      </c>
      <c r="D52" s="6" t="str">
        <f>AgencyRef[[#This Row],[Entity Code]]&amp; "-" &amp;AgencyRef[[#This Row],[Entity Description]]</f>
        <v>31000-State Fire Marshall</v>
      </c>
      <c r="E52" s="6"/>
    </row>
    <row r="53" spans="1:5" x14ac:dyDescent="0.25">
      <c r="A53" s="5" t="s">
        <v>116</v>
      </c>
      <c r="B53" s="5" t="s">
        <v>117</v>
      </c>
      <c r="C53" s="6">
        <f>LEN(AgencyRef[[#This Row],[Entity Description]])</f>
        <v>32</v>
      </c>
      <c r="D53" s="6" t="str">
        <f>AgencyRef[[#This Row],[Entity Code]]&amp; "-" &amp;AgencyRef[[#This Row],[Entity Description]]</f>
        <v>32000-Wildlife Conservation Commission</v>
      </c>
      <c r="E53" s="6"/>
    </row>
    <row r="54" spans="1:5" x14ac:dyDescent="0.25">
      <c r="A54" s="5" t="s">
        <v>118</v>
      </c>
      <c r="B54" s="5" t="s">
        <v>119</v>
      </c>
      <c r="C54" s="6">
        <f>LEN(AgencyRef[[#This Row],[Entity Description]])</f>
        <v>27</v>
      </c>
      <c r="D54" s="6" t="str">
        <f>AgencyRef[[#This Row],[Entity Code]]&amp; "-" &amp;AgencyRef[[#This Row],[Entity Description]]</f>
        <v>32600-Office of Handicap Concerns</v>
      </c>
      <c r="E54" s="6"/>
    </row>
    <row r="55" spans="1:5" x14ac:dyDescent="0.25">
      <c r="A55" s="5" t="s">
        <v>120</v>
      </c>
      <c r="B55" s="5" t="s">
        <v>121</v>
      </c>
      <c r="C55" s="6">
        <f>LEN(AgencyRef[[#This Row],[Entity Description]])</f>
        <v>20</v>
      </c>
      <c r="D55" s="6" t="str">
        <f>AgencyRef[[#This Row],[Entity Code]]&amp; "-" &amp;AgencyRef[[#This Row],[Entity Description]]</f>
        <v>34000-Department of Health</v>
      </c>
      <c r="E55" s="6"/>
    </row>
    <row r="56" spans="1:5" x14ac:dyDescent="0.25">
      <c r="A56" s="5" t="s">
        <v>122</v>
      </c>
      <c r="B56" s="5" t="s">
        <v>123</v>
      </c>
      <c r="C56" s="6">
        <f>LEN(AgencyRef[[#This Row],[Entity Description]])</f>
        <v>31</v>
      </c>
      <c r="D56" s="6" t="str">
        <f>AgencyRef[[#This Row],[Entity Code]]&amp; "-" &amp;AgencyRef[[#This Row],[Entity Description]]</f>
        <v>34200-Medicolegal Investigation Board</v>
      </c>
      <c r="E56" s="6"/>
    </row>
    <row r="57" spans="1:5" x14ac:dyDescent="0.25">
      <c r="A57" s="5" t="s">
        <v>124</v>
      </c>
      <c r="B57" s="5" t="s">
        <v>125</v>
      </c>
      <c r="C57" s="6">
        <f>LEN(AgencyRef[[#This Row],[Entity Description]])</f>
        <v>35</v>
      </c>
      <c r="D57" s="6" t="str">
        <f>AgencyRef[[#This Row],[Entity Code]]&amp; "-" &amp;AgencyRef[[#This Row],[Entity Description]]</f>
        <v>34300-Board of Examiners of Perfusionists</v>
      </c>
      <c r="E57" s="6"/>
    </row>
    <row r="58" spans="1:5" x14ac:dyDescent="0.25">
      <c r="A58" s="5">
        <v>34500</v>
      </c>
      <c r="B58" s="5" t="s">
        <v>126</v>
      </c>
      <c r="C58" s="6">
        <f>LEN(AgencyRef[[#This Row],[Entity Description]])</f>
        <v>28</v>
      </c>
      <c r="D58" s="6" t="str">
        <f>AgencyRef[[#This Row],[Entity Code]]&amp; "-" &amp;AgencyRef[[#This Row],[Entity Description]]</f>
        <v>34500-Department of Transportation</v>
      </c>
      <c r="E58" s="6"/>
    </row>
    <row r="59" spans="1:5" x14ac:dyDescent="0.25">
      <c r="A59" s="5" t="s">
        <v>127</v>
      </c>
      <c r="B59" s="5" t="s">
        <v>128</v>
      </c>
      <c r="C59" s="6">
        <f>LEN(AgencyRef[[#This Row],[Entity Description]])</f>
        <v>45</v>
      </c>
      <c r="D59" s="6" t="str">
        <f>AgencyRef[[#This Row],[Entity Code]]&amp; "-" &amp;AgencyRef[[#This Row],[Entity Description]]</f>
        <v>34600-Oklahoma Space Industry Development Authority</v>
      </c>
      <c r="E59" s="6"/>
    </row>
    <row r="60" spans="1:5" x14ac:dyDescent="0.25">
      <c r="A60" s="5" t="s">
        <v>129</v>
      </c>
      <c r="B60" s="5" t="s">
        <v>130</v>
      </c>
      <c r="C60" s="6">
        <f>LEN(AgencyRef[[#This Row],[Entity Description]])</f>
        <v>18</v>
      </c>
      <c r="D60" s="6" t="str">
        <f>AgencyRef[[#This Row],[Entity Code]]&amp; "-" &amp;AgencyRef[[#This Row],[Entity Description]]</f>
        <v>35000-Historical Society</v>
      </c>
      <c r="E60" s="6"/>
    </row>
    <row r="61" spans="1:5" x14ac:dyDescent="0.25">
      <c r="A61" s="5" t="s">
        <v>131</v>
      </c>
      <c r="B61" s="5" t="s">
        <v>132</v>
      </c>
      <c r="C61" s="6">
        <f>LEN(AgencyRef[[#This Row],[Entity Description]])</f>
        <v>23</v>
      </c>
      <c r="D61" s="6" t="str">
        <f>AgencyRef[[#This Row],[Entity Code]]&amp; "-" &amp;AgencyRef[[#This Row],[Entity Description]]</f>
        <v>35300-Horse Racing Commission</v>
      </c>
      <c r="E61" s="6"/>
    </row>
    <row r="62" spans="1:5" x14ac:dyDescent="0.25">
      <c r="A62" s="5" t="s">
        <v>133</v>
      </c>
      <c r="B62" s="5" t="s">
        <v>134</v>
      </c>
      <c r="C62" s="6">
        <f>LEN(AgencyRef[[#This Row],[Entity Description]])</f>
        <v>31</v>
      </c>
      <c r="D62" s="6" t="str">
        <f>AgencyRef[[#This Row],[Entity Code]]&amp; "-" &amp;AgencyRef[[#This Row],[Entity Description]]</f>
        <v>35900-Oklahoma Energy Resources Board</v>
      </c>
      <c r="E62" s="6"/>
    </row>
    <row r="63" spans="1:5" x14ac:dyDescent="0.25">
      <c r="A63" s="5">
        <v>36000</v>
      </c>
      <c r="B63" s="5" t="s">
        <v>135</v>
      </c>
      <c r="C63" s="6">
        <f>LEN(AgencyRef[[#This Row],[Entity Description]])</f>
        <v>25</v>
      </c>
      <c r="D63" s="6" t="str">
        <f>AgencyRef[[#This Row],[Entity Code]]&amp; "-" &amp;AgencyRef[[#This Row],[Entity Description]]</f>
        <v>36000-Indian Affairs Commission</v>
      </c>
      <c r="E63" s="6"/>
    </row>
    <row r="64" spans="1:5" x14ac:dyDescent="0.25">
      <c r="A64" s="5">
        <v>36100</v>
      </c>
      <c r="B64" s="5" t="s">
        <v>136</v>
      </c>
      <c r="C64" s="6">
        <f>LEN(AgencyRef[[#This Row],[Entity Description]])</f>
        <v>31</v>
      </c>
      <c r="D64" s="6" t="str">
        <f>AgencyRef[[#This Row],[Entity Code]]&amp; "-" &amp;AgencyRef[[#This Row],[Entity Description]]</f>
        <v>36100-Native American Cultural Center</v>
      </c>
      <c r="E64" s="6"/>
    </row>
    <row r="65" spans="1:5" x14ac:dyDescent="0.25">
      <c r="A65" s="5" t="s">
        <v>137</v>
      </c>
      <c r="B65" s="5"/>
      <c r="C65" s="6">
        <f>LEN(AgencyRef[[#This Row],[Entity Description]])</f>
        <v>0</v>
      </c>
      <c r="D65" s="6" t="str">
        <f>AgencyRef[[#This Row],[Entity Code]]&amp; "-" &amp;AgencyRef[[#This Row],[Entity Description]]</f>
        <v>36900-</v>
      </c>
      <c r="E65" s="6"/>
    </row>
    <row r="66" spans="1:5" x14ac:dyDescent="0.25">
      <c r="A66" s="5" t="s">
        <v>138</v>
      </c>
      <c r="B66" s="5" t="s">
        <v>139</v>
      </c>
      <c r="C66" s="6">
        <f>LEN(AgencyRef[[#This Row],[Entity Description]])</f>
        <v>20</v>
      </c>
      <c r="D66" s="6" t="str">
        <f>AgencyRef[[#This Row],[Entity Code]]&amp; "-" &amp;AgencyRef[[#This Row],[Entity Description]]</f>
        <v>38500-Insurance Department</v>
      </c>
      <c r="E66" s="6"/>
    </row>
    <row r="67" spans="1:5" x14ac:dyDescent="0.25">
      <c r="A67" s="5" t="s">
        <v>140</v>
      </c>
      <c r="B67" s="5" t="s">
        <v>141</v>
      </c>
      <c r="C67" s="6">
        <f>LEN(AgencyRef[[#This Row],[Entity Description]])</f>
        <v>26</v>
      </c>
      <c r="D67" s="6" t="str">
        <f>AgencyRef[[#This Row],[Entity Code]]&amp; "-" &amp;AgencyRef[[#This Row],[Entity Description]]</f>
        <v>40000-Office of Juvenile Affairs</v>
      </c>
      <c r="E67" s="6"/>
    </row>
    <row r="68" spans="1:5" x14ac:dyDescent="0.25">
      <c r="A68" s="5" t="s">
        <v>142</v>
      </c>
      <c r="B68" s="5" t="s">
        <v>143</v>
      </c>
      <c r="C68" s="6">
        <f>LEN(AgencyRef[[#This Row],[Entity Description]])</f>
        <v>16</v>
      </c>
      <c r="D68" s="6" t="str">
        <f>AgencyRef[[#This Row],[Entity Code]]&amp; "-" &amp;AgencyRef[[#This Row],[Entity Description]]</f>
        <v>40500-Labor Department</v>
      </c>
      <c r="E68" s="6"/>
    </row>
    <row r="69" spans="1:5" x14ac:dyDescent="0.25">
      <c r="A69" s="5" t="s">
        <v>144</v>
      </c>
      <c r="B69" s="5" t="s">
        <v>145</v>
      </c>
      <c r="C69" s="6">
        <f>LEN(AgencyRef[[#This Row],[Entity Description]])</f>
        <v>32</v>
      </c>
      <c r="D69" s="6" t="str">
        <f>AgencyRef[[#This Row],[Entity Code]]&amp; "-" &amp;AgencyRef[[#This Row],[Entity Description]]</f>
        <v>41000-Commissioners of the Land Office</v>
      </c>
      <c r="E69" s="6"/>
    </row>
    <row r="70" spans="1:5" x14ac:dyDescent="0.25">
      <c r="A70" s="5" t="s">
        <v>146</v>
      </c>
      <c r="B70" s="5" t="s">
        <v>147</v>
      </c>
      <c r="C70" s="6">
        <f>LEN(AgencyRef[[#This Row],[Entity Description]])</f>
        <v>5</v>
      </c>
      <c r="D70" s="6" t="str">
        <f>AgencyRef[[#This Row],[Entity Code]]&amp; "-" &amp;AgencyRef[[#This Row],[Entity Description]]</f>
        <v>41500-CLEET</v>
      </c>
      <c r="E70" s="6"/>
    </row>
    <row r="71" spans="1:5" x14ac:dyDescent="0.25">
      <c r="A71" s="5" t="s">
        <v>148</v>
      </c>
      <c r="B71" s="5" t="s">
        <v>149</v>
      </c>
      <c r="C71" s="6">
        <f>LEN(AgencyRef[[#This Row],[Entity Description]])</f>
        <v>6</v>
      </c>
      <c r="D71" s="6" t="str">
        <f>AgencyRef[[#This Row],[Entity Code]]&amp; "-" &amp;AgencyRef[[#This Row],[Entity Description]]</f>
        <v>42100-Senate</v>
      </c>
      <c r="E71" s="6"/>
    </row>
    <row r="72" spans="1:5" x14ac:dyDescent="0.25">
      <c r="A72" s="5" t="s">
        <v>150</v>
      </c>
      <c r="B72" s="5" t="s">
        <v>151</v>
      </c>
      <c r="C72" s="6">
        <f>LEN(AgencyRef[[#This Row],[Entity Description]])</f>
        <v>24</v>
      </c>
      <c r="D72" s="6" t="str">
        <f>AgencyRef[[#This Row],[Entity Code]]&amp; "-" &amp;AgencyRef[[#This Row],[Entity Description]]</f>
        <v>42200-House of Representatives</v>
      </c>
      <c r="E72" s="6"/>
    </row>
    <row r="73" spans="1:5" x14ac:dyDescent="0.25">
      <c r="A73" s="5" t="s">
        <v>152</v>
      </c>
      <c r="B73" s="5" t="s">
        <v>153</v>
      </c>
      <c r="C73" s="6">
        <f>LEN(AgencyRef[[#This Row],[Entity Description]])</f>
        <v>26</v>
      </c>
      <c r="D73" s="6" t="str">
        <f>AgencyRef[[#This Row],[Entity Code]]&amp; "-" &amp;AgencyRef[[#This Row],[Entity Description]]</f>
        <v>42300-Legislative Service Bureau</v>
      </c>
      <c r="E73" s="6"/>
    </row>
    <row r="74" spans="1:5" x14ac:dyDescent="0.25">
      <c r="A74" s="5" t="s">
        <v>154</v>
      </c>
      <c r="B74" s="5" t="s">
        <v>155</v>
      </c>
      <c r="C74" s="6">
        <f>LEN(AgencyRef[[#This Row],[Entity Description]])</f>
        <v>20</v>
      </c>
      <c r="D74" s="6" t="str">
        <f>AgencyRef[[#This Row],[Entity Code]]&amp; "-" &amp;AgencyRef[[#This Row],[Entity Description]]</f>
        <v>43000-Libraries Department</v>
      </c>
      <c r="E74" s="6"/>
    </row>
    <row r="75" spans="1:5" x14ac:dyDescent="0.25">
      <c r="A75" s="5">
        <v>43500</v>
      </c>
      <c r="B75" s="5" t="s">
        <v>156</v>
      </c>
      <c r="C75" s="6">
        <f>LEN(AgencyRef[[#This Row],[Entity Description]])</f>
        <v>18</v>
      </c>
      <c r="D75" s="6" t="str">
        <f>AgencyRef[[#This Row],[Entity Code]]&amp; "-" &amp;AgencyRef[[#This Row],[Entity Description]]</f>
        <v>43500-Lottery Commission</v>
      </c>
      <c r="E75" s="6"/>
    </row>
    <row r="76" spans="1:5" x14ac:dyDescent="0.25">
      <c r="A76" s="5" t="s">
        <v>157</v>
      </c>
      <c r="B76" s="5" t="s">
        <v>158</v>
      </c>
      <c r="C76" s="6">
        <f>LEN(AgencyRef[[#This Row],[Entity Description]])</f>
        <v>19</v>
      </c>
      <c r="D76" s="6" t="str">
        <f>AgencyRef[[#This Row],[Entity Code]]&amp; "-" &amp;AgencyRef[[#This Row],[Entity Description]]</f>
        <v>44000-Lieutenant Governor</v>
      </c>
      <c r="E76" s="6"/>
    </row>
    <row r="77" spans="1:5" x14ac:dyDescent="0.25">
      <c r="A77" s="5" t="s">
        <v>159</v>
      </c>
      <c r="B77" s="5" t="s">
        <v>160</v>
      </c>
      <c r="C77" s="6">
        <f>LEN(AgencyRef[[#This Row],[Entity Description]])</f>
        <v>29</v>
      </c>
      <c r="D77" s="6" t="str">
        <f>AgencyRef[[#This Row],[Entity Code]]&amp; "-" &amp;AgencyRef[[#This Row],[Entity Description]]</f>
        <v>44500-Liquefied Petroleum Gas Board</v>
      </c>
      <c r="E77" s="6"/>
    </row>
    <row r="78" spans="1:5" x14ac:dyDescent="0.25">
      <c r="A78" s="5" t="s">
        <v>161</v>
      </c>
      <c r="B78" s="5" t="s">
        <v>162</v>
      </c>
      <c r="C78" s="6">
        <f>LEN(AgencyRef[[#This Row],[Entity Description]])</f>
        <v>44</v>
      </c>
      <c r="D78" s="6" t="str">
        <f>AgencyRef[[#This Row],[Entity Code]]&amp; "-" &amp;AgencyRef[[#This Row],[Entity Description]]</f>
        <v>44800-Board of Licensure Alcohol &amp; Drug Counseling</v>
      </c>
      <c r="E78" s="6"/>
    </row>
    <row r="79" spans="1:5" x14ac:dyDescent="0.25">
      <c r="A79" s="5" t="s">
        <v>163</v>
      </c>
      <c r="B79" s="5" t="s">
        <v>164</v>
      </c>
      <c r="C79" s="6">
        <f>LEN(AgencyRef[[#This Row],[Entity Description]])</f>
        <v>33</v>
      </c>
      <c r="D79" s="6" t="str">
        <f>AgencyRef[[#This Row],[Entity Code]]&amp; "-" &amp;AgencyRef[[#This Row],[Entity Description]]</f>
        <v>45000-Medical License/Supervision Board</v>
      </c>
      <c r="E79" s="6"/>
    </row>
    <row r="80" spans="1:5" x14ac:dyDescent="0.25">
      <c r="A80" s="5" t="s">
        <v>165</v>
      </c>
      <c r="B80" s="5" t="s">
        <v>166</v>
      </c>
      <c r="C80" s="6">
        <f>LEN(AgencyRef[[#This Row],[Entity Description]])</f>
        <v>6</v>
      </c>
      <c r="D80" s="6" t="str">
        <f>AgencyRef[[#This Row],[Entity Code]]&amp; "-" &amp;AgencyRef[[#This Row],[Entity Description]]</f>
        <v>45200-DMHSAS</v>
      </c>
      <c r="E80" s="6"/>
    </row>
    <row r="81" spans="1:5" x14ac:dyDescent="0.25">
      <c r="A81" s="135" t="s">
        <v>691</v>
      </c>
      <c r="B81" s="5" t="s">
        <v>692</v>
      </c>
      <c r="C81" s="6">
        <f>LEN(AgencyRef[[#This Row],[Entity Description]])</f>
        <v>27</v>
      </c>
      <c r="D81" s="6" t="str">
        <f>AgencyRef[[#This Row],[Entity Code]]&amp; "-" &amp;AgencyRef[[#This Row],[Entity Description]]</f>
        <v>45500-Medical Marijuana Authority</v>
      </c>
      <c r="E81" s="6"/>
    </row>
    <row r="82" spans="1:5" x14ac:dyDescent="0.25">
      <c r="A82" s="5" t="s">
        <v>167</v>
      </c>
      <c r="B82" s="5" t="s">
        <v>168</v>
      </c>
      <c r="C82" s="6">
        <f>LEN(AgencyRef[[#This Row],[Entity Description]])</f>
        <v>16</v>
      </c>
      <c r="D82" s="6" t="str">
        <f>AgencyRef[[#This Row],[Entity Code]]&amp; "-" &amp;AgencyRef[[#This Row],[Entity Description]]</f>
        <v>46700-Statewide Entity</v>
      </c>
      <c r="E82" s="6"/>
    </row>
    <row r="83" spans="1:5" x14ac:dyDescent="0.25">
      <c r="A83" s="5" t="s">
        <v>169</v>
      </c>
      <c r="B83" s="5" t="s">
        <v>170</v>
      </c>
      <c r="C83" s="6">
        <f>LEN(AgencyRef[[#This Row],[Entity Description]])</f>
        <v>24</v>
      </c>
      <c r="D83" s="6" t="str">
        <f>AgencyRef[[#This Row],[Entity Code]]&amp; "-" &amp;AgencyRef[[#This Row],[Entity Description]]</f>
        <v>47500-Motor Vehicle Commission</v>
      </c>
      <c r="E83" s="6"/>
    </row>
    <row r="84" spans="1:5" x14ac:dyDescent="0.25">
      <c r="A84" s="5" t="s">
        <v>171</v>
      </c>
      <c r="B84" s="5" t="s">
        <v>172</v>
      </c>
      <c r="C84" s="6">
        <f>LEN(AgencyRef[[#This Row],[Entity Description]])</f>
        <v>33</v>
      </c>
      <c r="D84" s="6" t="str">
        <f>AgencyRef[[#This Row],[Entity Code]]&amp; "-" &amp;AgencyRef[[#This Row],[Entity Description]]</f>
        <v>47700-Narcotics/Dangerous Drugs Control</v>
      </c>
      <c r="E84" s="6"/>
    </row>
    <row r="85" spans="1:5" x14ac:dyDescent="0.25">
      <c r="A85" s="5" t="s">
        <v>173</v>
      </c>
      <c r="B85" s="5" t="s">
        <v>174</v>
      </c>
      <c r="C85" s="6">
        <f>LEN(AgencyRef[[#This Row],[Entity Description]])</f>
        <v>22</v>
      </c>
      <c r="D85" s="6" t="str">
        <f>AgencyRef[[#This Row],[Entity Code]]&amp; "-" &amp;AgencyRef[[#This Row],[Entity Description]]</f>
        <v>50900-Board of Nursing Homes</v>
      </c>
      <c r="E85" s="6"/>
    </row>
    <row r="86" spans="1:5" x14ac:dyDescent="0.25">
      <c r="A86" s="5" t="s">
        <v>175</v>
      </c>
      <c r="B86" s="5" t="s">
        <v>176</v>
      </c>
      <c r="C86" s="6">
        <f>LEN(AgencyRef[[#This Row],[Entity Description]])</f>
        <v>36</v>
      </c>
      <c r="D86" s="6" t="str">
        <f>AgencyRef[[#This Row],[Entity Code]]&amp; "-" &amp;AgencyRef[[#This Row],[Entity Description]]</f>
        <v>51000-Nurse Registration &amp; Education Board</v>
      </c>
      <c r="E86" s="6"/>
    </row>
    <row r="87" spans="1:5" x14ac:dyDescent="0.25">
      <c r="A87" s="5" t="s">
        <v>177</v>
      </c>
      <c r="B87" s="5" t="s">
        <v>178</v>
      </c>
      <c r="C87" s="6">
        <f>LEN(AgencyRef[[#This Row],[Entity Description]])</f>
        <v>15</v>
      </c>
      <c r="D87" s="6" t="str">
        <f>AgencyRef[[#This Row],[Entity Code]]&amp; "-" &amp;AgencyRef[[#This Row],[Entity Description]]</f>
        <v>52000-Optometry Board</v>
      </c>
      <c r="E87" s="6"/>
    </row>
    <row r="88" spans="1:5" x14ac:dyDescent="0.25">
      <c r="A88" s="5" t="s">
        <v>179</v>
      </c>
      <c r="B88" s="5" t="s">
        <v>180</v>
      </c>
      <c r="C88" s="6">
        <f>LEN(AgencyRef[[#This Row],[Entity Description]])</f>
        <v>27</v>
      </c>
      <c r="D88" s="6" t="str">
        <f>AgencyRef[[#This Row],[Entity Code]]&amp; "-" &amp;AgencyRef[[#This Row],[Entity Description]]</f>
        <v>52500-Osteopathic Examiners Board</v>
      </c>
      <c r="E88" s="6"/>
    </row>
    <row r="89" spans="1:5" x14ac:dyDescent="0.25">
      <c r="A89" s="5" t="s">
        <v>181</v>
      </c>
      <c r="B89" s="5" t="s">
        <v>182</v>
      </c>
      <c r="C89" s="6">
        <f>LEN(AgencyRef[[#This Row],[Entity Description]])</f>
        <v>14</v>
      </c>
      <c r="D89" s="6" t="str">
        <f>AgencyRef[[#This Row],[Entity Code]]&amp; "-" &amp;AgencyRef[[#This Row],[Entity Description]]</f>
        <v>56000-Pharmacy Board</v>
      </c>
      <c r="E89" s="6"/>
    </row>
    <row r="90" spans="1:5" x14ac:dyDescent="0.25">
      <c r="A90" s="5" t="s">
        <v>183</v>
      </c>
      <c r="B90" s="5" t="s">
        <v>184</v>
      </c>
      <c r="C90" s="6">
        <f>LEN(AgencyRef[[#This Row],[Entity Description]])</f>
        <v>32</v>
      </c>
      <c r="D90" s="6" t="str">
        <f>AgencyRef[[#This Row],[Entity Code]]&amp; "-" &amp;AgencyRef[[#This Row],[Entity Description]]</f>
        <v>56300-Private Vocational Schools Board</v>
      </c>
      <c r="E90" s="6"/>
    </row>
    <row r="91" spans="1:5" x14ac:dyDescent="0.25">
      <c r="A91" s="5" t="s">
        <v>185</v>
      </c>
      <c r="B91" s="5" t="s">
        <v>186</v>
      </c>
      <c r="C91" s="6">
        <f>LEN(AgencyRef[[#This Row],[Entity Description]])</f>
        <v>31</v>
      </c>
      <c r="D91" s="6" t="str">
        <f>AgencyRef[[#This Row],[Entity Code]]&amp; "-" &amp;AgencyRef[[#This Row],[Entity Description]]</f>
        <v>56600-Tourism &amp; Recreation Department</v>
      </c>
      <c r="E91" s="6"/>
    </row>
    <row r="92" spans="1:5" x14ac:dyDescent="0.25">
      <c r="A92" s="5" t="s">
        <v>187</v>
      </c>
      <c r="B92" s="5" t="s">
        <v>188</v>
      </c>
      <c r="C92" s="6">
        <f>LEN(AgencyRef[[#This Row],[Entity Description]])</f>
        <v>45</v>
      </c>
      <c r="D92" s="6" t="str">
        <f>AgencyRef[[#This Row],[Entity Code]]&amp; "-" &amp;AgencyRef[[#This Row],[Entity Description]]</f>
        <v>57000-Professional Engineers &amp; Land Surveyors Board</v>
      </c>
      <c r="E92" s="6"/>
    </row>
    <row r="93" spans="1:5" x14ac:dyDescent="0.25">
      <c r="A93" s="5" t="s">
        <v>189</v>
      </c>
      <c r="B93" s="5" t="s">
        <v>190</v>
      </c>
      <c r="C93" s="6">
        <f>LEN(AgencyRef[[#This Row],[Entity Description]])</f>
        <v>29</v>
      </c>
      <c r="D93" s="6" t="str">
        <f>AgencyRef[[#This Row],[Entity Code]]&amp; "-" &amp;AgencyRef[[#This Row],[Entity Description]]</f>
        <v>57500-Psychologists Examiners Board</v>
      </c>
      <c r="E93" s="6"/>
    </row>
    <row r="94" spans="1:5" x14ac:dyDescent="0.25">
      <c r="A94" s="5" t="s">
        <v>191</v>
      </c>
      <c r="B94" s="5" t="s">
        <v>192</v>
      </c>
      <c r="C94" s="6">
        <f>LEN(AgencyRef[[#This Row],[Entity Description]])</f>
        <v>18</v>
      </c>
      <c r="D94" s="6" t="str">
        <f>AgencyRef[[#This Row],[Entity Code]]&amp; "-" &amp;AgencyRef[[#This Row],[Entity Description]]</f>
        <v>58200-State Bond Advisor</v>
      </c>
      <c r="E94" s="6"/>
    </row>
    <row r="95" spans="1:5" x14ac:dyDescent="0.25">
      <c r="A95" s="5" t="s">
        <v>193</v>
      </c>
      <c r="B95" s="5" t="s">
        <v>194</v>
      </c>
      <c r="C95" s="6">
        <f>LEN(AgencyRef[[#This Row],[Entity Description]])</f>
        <v>24</v>
      </c>
      <c r="D95" s="6" t="str">
        <f>AgencyRef[[#This Row],[Entity Code]]&amp; "-" &amp;AgencyRef[[#This Row],[Entity Description]]</f>
        <v>58500-Public Safety Department</v>
      </c>
      <c r="E95" s="6"/>
    </row>
    <row r="96" spans="1:5" x14ac:dyDescent="0.25">
      <c r="A96" s="5" t="s">
        <v>195</v>
      </c>
      <c r="B96" s="5" t="s">
        <v>196</v>
      </c>
      <c r="C96" s="6">
        <f>LEN(AgencyRef[[#This Row],[Entity Description]])</f>
        <v>22</v>
      </c>
      <c r="D96" s="6" t="str">
        <f>AgencyRef[[#This Row],[Entity Code]]&amp; "-" &amp;AgencyRef[[#This Row],[Entity Description]]</f>
        <v>58800-Real Estate Commission</v>
      </c>
      <c r="E96" s="6"/>
    </row>
    <row r="97" spans="1:5" x14ac:dyDescent="0.25">
      <c r="A97" s="5" t="s">
        <v>197</v>
      </c>
      <c r="B97" s="5" t="s">
        <v>198</v>
      </c>
      <c r="C97" s="6">
        <f>LEN(AgencyRef[[#This Row],[Entity Description]])</f>
        <v>39</v>
      </c>
      <c r="D97" s="6" t="str">
        <f>AgencyRef[[#This Row],[Entity Code]]&amp; "-" &amp;AgencyRef[[#This Row],[Entity Description]]</f>
        <v>61900-Physicians Manpower Training Commission</v>
      </c>
      <c r="E97" s="6"/>
    </row>
    <row r="98" spans="1:5" x14ac:dyDescent="0.25">
      <c r="A98" s="5" t="s">
        <v>199</v>
      </c>
      <c r="B98" s="5" t="s">
        <v>200</v>
      </c>
      <c r="C98" s="6">
        <f>LEN(AgencyRef[[#This Row],[Entity Description]])</f>
        <v>29</v>
      </c>
      <c r="D98" s="6" t="str">
        <f>AgencyRef[[#This Row],[Entity Code]]&amp; "-" &amp;AgencyRef[[#This Row],[Entity Description]]</f>
        <v>62200-Licensed Social Workers Board</v>
      </c>
      <c r="E98" s="6"/>
    </row>
    <row r="99" spans="1:5" x14ac:dyDescent="0.25">
      <c r="A99" s="5" t="s">
        <v>201</v>
      </c>
      <c r="B99" s="5" t="s">
        <v>202</v>
      </c>
      <c r="C99" s="6">
        <f>LEN(AgencyRef[[#This Row],[Entity Description]])</f>
        <v>18</v>
      </c>
      <c r="D99" s="6" t="str">
        <f>AgencyRef[[#This Row],[Entity Code]]&amp; "-" &amp;AgencyRef[[#This Row],[Entity Description]]</f>
        <v>62500-Secretary of State</v>
      </c>
      <c r="E99" s="6"/>
    </row>
    <row r="100" spans="1:5" x14ac:dyDescent="0.25">
      <c r="A100" s="5" t="s">
        <v>203</v>
      </c>
      <c r="B100" s="5" t="s">
        <v>204</v>
      </c>
      <c r="C100" s="6">
        <f>LEN(AgencyRef[[#This Row],[Entity Description]])</f>
        <v>44</v>
      </c>
      <c r="D100" s="6" t="str">
        <f>AgencyRef[[#This Row],[Entity Code]]&amp; "-" &amp;AgencyRef[[#This Row],[Entity Description]]</f>
        <v>62800-Center for Advancement of Science/Technology</v>
      </c>
      <c r="E100" s="6"/>
    </row>
    <row r="101" spans="1:5" x14ac:dyDescent="0.25">
      <c r="A101" s="5" t="s">
        <v>205</v>
      </c>
      <c r="B101" s="5" t="s">
        <v>206</v>
      </c>
      <c r="C101" s="6">
        <f>LEN(AgencyRef[[#This Row],[Entity Description]])</f>
        <v>35</v>
      </c>
      <c r="D101" s="6" t="str">
        <f>AgencyRef[[#This Row],[Entity Code]]&amp; "-" &amp;AgencyRef[[#This Row],[Entity Description]]</f>
        <v>62900-Oklahoma School of Science and Math</v>
      </c>
      <c r="E101" s="6"/>
    </row>
    <row r="102" spans="1:5" x14ac:dyDescent="0.25">
      <c r="A102" s="5" t="s">
        <v>207</v>
      </c>
      <c r="B102" s="5" t="s">
        <v>208</v>
      </c>
      <c r="C102" s="6">
        <f>LEN(AgencyRef[[#This Row],[Entity Description]])</f>
        <v>21</v>
      </c>
      <c r="D102" s="6" t="str">
        <f>AgencyRef[[#This Row],[Entity Code]]&amp; "-" &amp;AgencyRef[[#This Row],[Entity Description]]</f>
        <v>63000-Securities Commission</v>
      </c>
      <c r="E102" s="6"/>
    </row>
    <row r="103" spans="1:5" x14ac:dyDescent="0.25">
      <c r="A103" s="5" t="s">
        <v>209</v>
      </c>
      <c r="B103" s="5" t="s">
        <v>210</v>
      </c>
      <c r="C103" s="6">
        <f>LEN(AgencyRef[[#This Row],[Entity Description]])</f>
        <v>36</v>
      </c>
      <c r="D103" s="6" t="str">
        <f>AgencyRef[[#This Row],[Entity Code]]&amp; "-" &amp;AgencyRef[[#This Row],[Entity Description]]</f>
        <v>63200-Speech Pathology and Audiology Board</v>
      </c>
      <c r="E103" s="6"/>
    </row>
    <row r="104" spans="1:5" x14ac:dyDescent="0.25">
      <c r="A104" s="5" t="s">
        <v>211</v>
      </c>
      <c r="B104" s="5" t="s">
        <v>212</v>
      </c>
      <c r="C104" s="6">
        <f>LEN(AgencyRef[[#This Row],[Entity Description]])</f>
        <v>26</v>
      </c>
      <c r="D104" s="6" t="str">
        <f>AgencyRef[[#This Row],[Entity Code]]&amp; "-" &amp;AgencyRef[[#This Row],[Entity Description]]</f>
        <v>63500-Consumer Credit Commission</v>
      </c>
      <c r="E104" s="6"/>
    </row>
    <row r="105" spans="1:5" x14ac:dyDescent="0.25">
      <c r="A105" s="5" t="s">
        <v>213</v>
      </c>
      <c r="B105" s="5" t="s">
        <v>214</v>
      </c>
      <c r="C105" s="6">
        <f>LEN(AgencyRef[[#This Row],[Entity Description]])</f>
        <v>23</v>
      </c>
      <c r="D105" s="6" t="str">
        <f>AgencyRef[[#This Row],[Entity Code]]&amp; "-" &amp;AgencyRef[[#This Row],[Entity Description]]</f>
        <v>64500-Conservation Commission</v>
      </c>
      <c r="E105" s="6"/>
    </row>
    <row r="106" spans="1:5" x14ac:dyDescent="0.25">
      <c r="A106" s="5" t="s">
        <v>215</v>
      </c>
      <c r="B106" s="5" t="s">
        <v>216</v>
      </c>
      <c r="C106" s="6">
        <f>LEN(AgencyRef[[#This Row],[Entity Description]])</f>
        <v>26</v>
      </c>
      <c r="D106" s="6" t="str">
        <f>AgencyRef[[#This Row],[Entity Code]]&amp; "-" &amp;AgencyRef[[#This Row],[Entity Description]]</f>
        <v>65000-Veteran Affairs Department</v>
      </c>
      <c r="E106" s="6"/>
    </row>
    <row r="107" spans="1:5" x14ac:dyDescent="0.25">
      <c r="A107" s="5" t="s">
        <v>217</v>
      </c>
      <c r="B107" s="5" t="s">
        <v>218</v>
      </c>
      <c r="C107" s="6">
        <f>LEN(AgencyRef[[#This Row],[Entity Description]])</f>
        <v>17</v>
      </c>
      <c r="D107" s="6" t="str">
        <f>AgencyRef[[#This Row],[Entity Code]]&amp; "-" &amp;AgencyRef[[#This Row],[Entity Description]]</f>
        <v>67000-JD McCarty Center</v>
      </c>
      <c r="E107" s="6"/>
    </row>
    <row r="108" spans="1:5" x14ac:dyDescent="0.25">
      <c r="A108" s="5" t="s">
        <v>219</v>
      </c>
      <c r="B108" s="5" t="s">
        <v>220</v>
      </c>
      <c r="C108" s="6">
        <f>LEN(AgencyRef[[#This Row],[Entity Description]])</f>
        <v>35</v>
      </c>
      <c r="D108" s="6" t="str">
        <f>AgencyRef[[#This Row],[Entity Code]]&amp; "-" &amp;AgencyRef[[#This Row],[Entity Description]]</f>
        <v>67500-Self-Insurance Guarantee Fund Board</v>
      </c>
      <c r="E108" s="6"/>
    </row>
    <row r="109" spans="1:5" x14ac:dyDescent="0.25">
      <c r="A109" s="5" t="s">
        <v>221</v>
      </c>
      <c r="B109" s="5" t="s">
        <v>222</v>
      </c>
      <c r="C109" s="6">
        <f>LEN(AgencyRef[[#This Row],[Entity Description]])</f>
        <v>13</v>
      </c>
      <c r="D109" s="6" t="str">
        <f>AgencyRef[[#This Row],[Entity Code]]&amp; "-" &amp;AgencyRef[[#This Row],[Entity Description]]</f>
        <v>67700-Supreme Court</v>
      </c>
      <c r="E109" s="6"/>
    </row>
    <row r="110" spans="1:5" x14ac:dyDescent="0.25">
      <c r="A110" s="5" t="s">
        <v>223</v>
      </c>
      <c r="B110" s="5" t="s">
        <v>224</v>
      </c>
      <c r="C110" s="6">
        <f>LEN(AgencyRef[[#This Row],[Entity Description]])</f>
        <v>30</v>
      </c>
      <c r="D110" s="6" t="str">
        <f>AgencyRef[[#This Row],[Entity Code]]&amp; "-" &amp;AgencyRef[[#This Row],[Entity Description]]</f>
        <v>67800-Council on Judicial Complaints</v>
      </c>
      <c r="E110" s="6"/>
    </row>
    <row r="111" spans="1:5" x14ac:dyDescent="0.25">
      <c r="A111" s="5" t="s">
        <v>225</v>
      </c>
      <c r="B111" s="5" t="s">
        <v>226</v>
      </c>
      <c r="C111" s="6">
        <f>LEN(AgencyRef[[#This Row],[Entity Description]])</f>
        <v>23</v>
      </c>
      <c r="D111" s="6" t="str">
        <f>AgencyRef[[#This Row],[Entity Code]]&amp; "-" &amp;AgencyRef[[#This Row],[Entity Description]]</f>
        <v>69500-Oklahoma Tax Commission</v>
      </c>
      <c r="E111" s="6"/>
    </row>
    <row r="112" spans="1:5" x14ac:dyDescent="0.25">
      <c r="A112" s="5" t="s">
        <v>227</v>
      </c>
      <c r="B112" s="5" t="s">
        <v>228</v>
      </c>
      <c r="C112" s="6">
        <f>LEN(AgencyRef[[#This Row],[Entity Description]])</f>
        <v>25</v>
      </c>
      <c r="D112" s="6" t="str">
        <f>AgencyRef[[#This Row],[Entity Code]]&amp; "-" &amp;AgencyRef[[#This Row],[Entity Description]]</f>
        <v>74000-Office of State Treasurer</v>
      </c>
      <c r="E112" s="6"/>
    </row>
    <row r="113" spans="1:5" x14ac:dyDescent="0.25">
      <c r="A113" s="5" t="s">
        <v>229</v>
      </c>
      <c r="B113" s="5" t="s">
        <v>230</v>
      </c>
      <c r="C113" s="6">
        <f>LEN(AgencyRef[[#This Row],[Entity Description]])</f>
        <v>32</v>
      </c>
      <c r="D113" s="6" t="str">
        <f>AgencyRef[[#This Row],[Entity Code]]&amp; "-" &amp;AgencyRef[[#This Row],[Entity Description]]</f>
        <v>75300-Uniform Building Code Commission</v>
      </c>
      <c r="E113" s="6"/>
    </row>
    <row r="114" spans="1:5" x14ac:dyDescent="0.25">
      <c r="A114" s="5" t="s">
        <v>231</v>
      </c>
      <c r="B114" s="5" t="s">
        <v>232</v>
      </c>
      <c r="C114" s="6">
        <f>LEN(AgencyRef[[#This Row],[Entity Description]])</f>
        <v>29</v>
      </c>
      <c r="D114" s="6" t="str">
        <f>AgencyRef[[#This Row],[Entity Code]]&amp; "-" &amp;AgencyRef[[#This Row],[Entity Description]]</f>
        <v>75500-Used Motor Vehicle Commission</v>
      </c>
      <c r="E114" s="6"/>
    </row>
    <row r="115" spans="1:5" x14ac:dyDescent="0.25">
      <c r="A115" s="5" t="s">
        <v>233</v>
      </c>
      <c r="B115" s="5" t="s">
        <v>234</v>
      </c>
      <c r="C115" s="6">
        <f>LEN(AgencyRef[[#This Row],[Entity Description]])</f>
        <v>43</v>
      </c>
      <c r="D115" s="6" t="str">
        <f>AgencyRef[[#This Row],[Entity Code]]&amp; "-" &amp;AgencyRef[[#This Row],[Entity Description]]</f>
        <v>77200-Board of Tests for Alcohol &amp; Drug Influence</v>
      </c>
      <c r="E115" s="6"/>
    </row>
    <row r="116" spans="1:5" x14ac:dyDescent="0.25">
      <c r="A116" s="5" t="s">
        <v>235</v>
      </c>
      <c r="B116" s="5" t="s">
        <v>236</v>
      </c>
      <c r="C116" s="6">
        <f>LEN(AgencyRef[[#This Row],[Entity Description]])</f>
        <v>34</v>
      </c>
      <c r="D116" s="6" t="str">
        <f>AgencyRef[[#This Row],[Entity Code]]&amp; "-" &amp;AgencyRef[[#This Row],[Entity Description]]</f>
        <v>79000-Veterinary Medical Examiners Board</v>
      </c>
      <c r="E116" s="6"/>
    </row>
    <row r="117" spans="1:5" x14ac:dyDescent="0.25">
      <c r="A117" s="5" t="s">
        <v>237</v>
      </c>
      <c r="B117" s="5" t="s">
        <v>238</v>
      </c>
      <c r="C117" s="6">
        <f>LEN(AgencyRef[[#This Row],[Entity Description]])</f>
        <v>45</v>
      </c>
      <c r="D117" s="6" t="str">
        <f>AgencyRef[[#This Row],[Entity Code]]&amp; "-" &amp;AgencyRef[[#This Row],[Entity Description]]</f>
        <v>80000-Department of Career and Technology Education</v>
      </c>
      <c r="E117" s="6"/>
    </row>
    <row r="118" spans="1:5" x14ac:dyDescent="0.25">
      <c r="A118" s="5" t="s">
        <v>239</v>
      </c>
      <c r="B118" s="5" t="s">
        <v>240</v>
      </c>
      <c r="C118" s="6">
        <f>LEN(AgencyRef[[#This Row],[Entity Description]])</f>
        <v>28</v>
      </c>
      <c r="D118" s="6" t="str">
        <f>AgencyRef[[#This Row],[Entity Code]]&amp; "-" &amp;AgencyRef[[#This Row],[Entity Description]]</f>
        <v>80300-Virtual Charter School Board</v>
      </c>
      <c r="E118" s="6"/>
    </row>
    <row r="119" spans="1:5" x14ac:dyDescent="0.25">
      <c r="A119" s="5" t="s">
        <v>241</v>
      </c>
      <c r="B119" s="5" t="s">
        <v>242</v>
      </c>
      <c r="C119" s="6">
        <f>LEN(AgencyRef[[#This Row],[Entity Description]])</f>
        <v>37</v>
      </c>
      <c r="D119" s="6" t="str">
        <f>AgencyRef[[#This Row],[Entity Code]]&amp; "-" &amp;AgencyRef[[#This Row],[Entity Description]]</f>
        <v>80500-Department of Rehabilitation Services</v>
      </c>
      <c r="E119" s="6"/>
    </row>
    <row r="120" spans="1:5" x14ac:dyDescent="0.25">
      <c r="A120" s="5" t="s">
        <v>243</v>
      </c>
      <c r="B120" s="5" t="s">
        <v>244</v>
      </c>
      <c r="C120" s="6">
        <f>LEN(AgencyRef[[#This Row],[Entity Description]])</f>
        <v>30</v>
      </c>
      <c r="D120" s="6" t="str">
        <f>AgencyRef[[#This Row],[Entity Code]]&amp; "-" &amp;AgencyRef[[#This Row],[Entity Description]]</f>
        <v>80700-Oklahoma Health Care Authority</v>
      </c>
      <c r="E120" s="6"/>
    </row>
    <row r="121" spans="1:5" x14ac:dyDescent="0.25">
      <c r="A121" s="5" t="s">
        <v>245</v>
      </c>
      <c r="B121" s="5" t="s">
        <v>246</v>
      </c>
      <c r="C121" s="6">
        <f>LEN(AgencyRef[[#This Row],[Entity Description]])</f>
        <v>28</v>
      </c>
      <c r="D121" s="6" t="str">
        <f>AgencyRef[[#This Row],[Entity Code]]&amp; "-" &amp;AgencyRef[[#This Row],[Entity Description]]</f>
        <v>83000-Department of Human Services</v>
      </c>
      <c r="E121" s="6"/>
    </row>
    <row r="122" spans="1:5" x14ac:dyDescent="0.25">
      <c r="A122" s="5" t="s">
        <v>247</v>
      </c>
      <c r="B122" s="5" t="s">
        <v>248</v>
      </c>
      <c r="C122" s="6">
        <f>LEN(AgencyRef[[#This Row],[Entity Description]])</f>
        <v>21</v>
      </c>
      <c r="D122" s="6" t="str">
        <f>AgencyRef[[#This Row],[Entity Code]]&amp; "-" &amp;AgencyRef[[#This Row],[Entity Description]]</f>
        <v>83500-Water Resources Board</v>
      </c>
      <c r="E122" s="6"/>
    </row>
    <row r="123" spans="1:5" x14ac:dyDescent="0.25">
      <c r="A123" s="5" t="s">
        <v>249</v>
      </c>
      <c r="B123" s="5" t="s">
        <v>250</v>
      </c>
      <c r="C123" s="6">
        <f>LEN(AgencyRef[[#This Row],[Entity Description]])</f>
        <v>27</v>
      </c>
      <c r="D123" s="6" t="str">
        <f>AgencyRef[[#This Row],[Entity Code]]&amp; "-" &amp;AgencyRef[[#This Row],[Entity Description]]</f>
        <v>86500-Workers' Compensation Court</v>
      </c>
      <c r="E123" s="6"/>
    </row>
    <row r="124" spans="1:5" x14ac:dyDescent="0.25">
      <c r="A124" s="5" t="s">
        <v>251</v>
      </c>
      <c r="B124" s="5" t="s">
        <v>252</v>
      </c>
      <c r="C124" s="6">
        <f>LEN(AgencyRef[[#This Row],[Entity Description]])</f>
        <v>18</v>
      </c>
      <c r="D124" s="6" t="str">
        <f>AgencyRef[[#This Row],[Entity Code]]&amp; "-" &amp;AgencyRef[[#This Row],[Entity Description]]</f>
        <v>88000-Will Rogers Museum</v>
      </c>
      <c r="E124" s="6"/>
    </row>
  </sheetData>
  <sheetProtection algorithmName="SHA-512" hashValue="xhAN/PgNcPM37zo2OoqCs2sccE9UY9K7JXdvIu4olp7qJigwg6rLmeX5girQ9WIllGO6IVGBBUoQCs/HYur7Iw==" saltValue="MfZ2J37xzgNF4CHxInbllw==" spinCount="100000" sheet="1" objects="1" scenarios="1"/>
  <conditionalFormatting sqref="A4:A9">
    <cfRule type="expression" dxfId="4" priority="5">
      <formula>#REF!="Y"</formula>
    </cfRule>
  </conditionalFormatting>
  <conditionalFormatting sqref="A10:A14">
    <cfRule type="expression" dxfId="3" priority="4">
      <formula>#REF!="Y"</formula>
    </cfRule>
  </conditionalFormatting>
  <conditionalFormatting sqref="A15:A55">
    <cfRule type="expression" dxfId="2" priority="3">
      <formula>#REF!="Y"</formula>
    </cfRule>
  </conditionalFormatting>
  <conditionalFormatting sqref="B4:B9 B15:B55">
    <cfRule type="expression" dxfId="1" priority="2">
      <formula>#REF!="Y"</formula>
    </cfRule>
  </conditionalFormatting>
  <conditionalFormatting sqref="B10:B14">
    <cfRule type="expression" dxfId="0" priority="1">
      <formula>#REF!="Y"</formula>
    </cfRule>
  </conditionalFormatting>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2"/>
  <sheetViews>
    <sheetView workbookViewId="0">
      <pane ySplit="1" topLeftCell="A2" activePane="bottomLeft" state="frozen"/>
      <selection pane="bottomLeft" activeCell="A2" sqref="A2"/>
    </sheetView>
  </sheetViews>
  <sheetFormatPr defaultRowHeight="15" x14ac:dyDescent="0.25"/>
  <cols>
    <col min="1" max="1" width="15.7109375" customWidth="1"/>
    <col min="2" max="2" width="30.7109375" customWidth="1"/>
    <col min="3" max="3" width="12.7109375" style="3" customWidth="1"/>
    <col min="4" max="4" width="10.7109375" style="3" customWidth="1"/>
  </cols>
  <sheetData>
    <row r="1" spans="1:4" x14ac:dyDescent="0.25">
      <c r="A1" t="s">
        <v>281</v>
      </c>
      <c r="B1" t="s">
        <v>282</v>
      </c>
      <c r="C1" s="3" t="s">
        <v>254</v>
      </c>
      <c r="D1" s="3" t="s">
        <v>258</v>
      </c>
    </row>
    <row r="2" spans="1:4" x14ac:dyDescent="0.25">
      <c r="A2" t="s">
        <v>265</v>
      </c>
      <c r="B2" t="s">
        <v>266</v>
      </c>
      <c r="C2" s="3">
        <f>LEN(AgrmtTypeRef[[#This Row],[Description (50)]])</f>
        <v>4</v>
      </c>
      <c r="D2" s="3">
        <v>10</v>
      </c>
    </row>
    <row r="3" spans="1:4" x14ac:dyDescent="0.25">
      <c r="A3" t="s">
        <v>267</v>
      </c>
      <c r="B3" t="s">
        <v>268</v>
      </c>
      <c r="C3" s="3">
        <f>LEN(AgrmtTypeRef[[#This Row],[Description (50)]])</f>
        <v>17</v>
      </c>
      <c r="D3" s="3">
        <v>10</v>
      </c>
    </row>
    <row r="4" spans="1:4" x14ac:dyDescent="0.25">
      <c r="A4" t="s">
        <v>271</v>
      </c>
      <c r="B4" t="s">
        <v>272</v>
      </c>
      <c r="C4" s="3">
        <f>LEN(AgrmtTypeRef[[#This Row],[Description (50)]])</f>
        <v>21</v>
      </c>
      <c r="D4" s="3">
        <v>20</v>
      </c>
    </row>
    <row r="5" spans="1:4" x14ac:dyDescent="0.25">
      <c r="A5" t="s">
        <v>269</v>
      </c>
      <c r="B5" t="s">
        <v>270</v>
      </c>
      <c r="C5" s="3">
        <f>LEN(AgrmtTypeRef[[#This Row],[Description (50)]])</f>
        <v>9</v>
      </c>
      <c r="D5" s="3">
        <v>20</v>
      </c>
    </row>
    <row r="6" spans="1:4" x14ac:dyDescent="0.25">
      <c r="A6" t="s">
        <v>275</v>
      </c>
      <c r="B6" t="s">
        <v>276</v>
      </c>
      <c r="C6" s="3">
        <f>LEN(AgrmtTypeRef[[#This Row],[Description (50)]])</f>
        <v>15</v>
      </c>
      <c r="D6" s="3">
        <v>30</v>
      </c>
    </row>
    <row r="7" spans="1:4" x14ac:dyDescent="0.25">
      <c r="A7" t="s">
        <v>277</v>
      </c>
      <c r="B7" t="s">
        <v>278</v>
      </c>
      <c r="C7" s="3">
        <f>LEN(AgrmtTypeRef[[#This Row],[Description (50)]])</f>
        <v>16</v>
      </c>
      <c r="D7" s="3">
        <v>30</v>
      </c>
    </row>
    <row r="8" spans="1:4" x14ac:dyDescent="0.25">
      <c r="A8" t="s">
        <v>273</v>
      </c>
      <c r="B8" t="s">
        <v>274</v>
      </c>
      <c r="C8" s="3">
        <f>LEN(AgrmtTypeRef[[#This Row],[Description (50)]])</f>
        <v>8</v>
      </c>
      <c r="D8" s="3">
        <v>30</v>
      </c>
    </row>
    <row r="9" spans="1:4" x14ac:dyDescent="0.25">
      <c r="A9" t="s">
        <v>279</v>
      </c>
      <c r="B9" t="s">
        <v>280</v>
      </c>
      <c r="C9" s="3">
        <f>LEN(AgrmtTypeRef[[#This Row],[Description (50)]])</f>
        <v>14</v>
      </c>
      <c r="D9" s="3">
        <v>40</v>
      </c>
    </row>
    <row r="10" spans="1:4" x14ac:dyDescent="0.25">
      <c r="A10" t="s">
        <v>263</v>
      </c>
      <c r="B10" t="s">
        <v>264</v>
      </c>
      <c r="C10" s="3">
        <f>LEN(AgrmtTypeRef[[#This Row],[Description (50)]])</f>
        <v>11</v>
      </c>
      <c r="D10" s="3">
        <v>40</v>
      </c>
    </row>
    <row r="11" spans="1:4" x14ac:dyDescent="0.25">
      <c r="A11" t="s">
        <v>259</v>
      </c>
      <c r="B11" t="s">
        <v>260</v>
      </c>
      <c r="C11" s="3">
        <f>LEN(AgrmtTypeRef[[#This Row],[Description (50)]])</f>
        <v>8</v>
      </c>
      <c r="D11" s="3">
        <v>40</v>
      </c>
    </row>
    <row r="12" spans="1:4" x14ac:dyDescent="0.25">
      <c r="A12" t="s">
        <v>261</v>
      </c>
      <c r="B12" t="s">
        <v>262</v>
      </c>
      <c r="C12" s="3">
        <f>LEN(AgrmtTypeRef[[#This Row],[Description (50)]])</f>
        <v>8</v>
      </c>
      <c r="D12" s="3">
        <v>50</v>
      </c>
    </row>
  </sheetData>
  <sheetProtection algorithmName="SHA-512" hashValue="xotYXZITvwEV3LO/+33uIxodF0cOQbqBVwwPIF3420euT58E1Rsql9PjAcCLSer2arvvqWsQu97iIRwOzWCbHQ==" saltValue="1zHrnWR+f0yqyB7TCAGm/A==" spinCount="100000" sheet="1" objects="1" scenarios="1"/>
  <sortState xmlns:xlrd2="http://schemas.microsoft.com/office/spreadsheetml/2017/richdata2" ref="A2:D12">
    <sortCondition ref="D2:D12"/>
    <sortCondition ref="A2:A12"/>
  </sortState>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2"/>
  <sheetViews>
    <sheetView workbookViewId="0">
      <pane ySplit="1" topLeftCell="A2" activePane="bottomLeft" state="frozen"/>
      <selection pane="bottomLeft" activeCell="A2" sqref="A2"/>
    </sheetView>
  </sheetViews>
  <sheetFormatPr defaultRowHeight="15" x14ac:dyDescent="0.25"/>
  <cols>
    <col min="1" max="1" width="15.7109375" customWidth="1"/>
    <col min="2" max="2" width="30.7109375" customWidth="1"/>
    <col min="3" max="3" width="12.7109375" style="3" customWidth="1"/>
    <col min="4" max="4" width="10.7109375" style="3" customWidth="1"/>
  </cols>
  <sheetData>
    <row r="1" spans="1:4" x14ac:dyDescent="0.25">
      <c r="A1" t="s">
        <v>281</v>
      </c>
      <c r="B1" t="s">
        <v>282</v>
      </c>
      <c r="C1" s="3" t="s">
        <v>254</v>
      </c>
      <c r="D1" s="3" t="s">
        <v>258</v>
      </c>
    </row>
    <row r="2" spans="1:4" x14ac:dyDescent="0.25">
      <c r="A2" t="s">
        <v>265</v>
      </c>
      <c r="B2" t="s">
        <v>266</v>
      </c>
      <c r="C2" s="3">
        <f>LEN(ProvTypeRef[[#This Row],[Description (50)]])</f>
        <v>4</v>
      </c>
      <c r="D2" s="3">
        <v>10</v>
      </c>
    </row>
    <row r="3" spans="1:4" x14ac:dyDescent="0.25">
      <c r="A3" t="s">
        <v>267</v>
      </c>
      <c r="B3" t="s">
        <v>268</v>
      </c>
      <c r="C3" s="3">
        <f>LEN(ProvTypeRef[[#This Row],[Description (50)]])</f>
        <v>17</v>
      </c>
      <c r="D3" s="3">
        <v>10</v>
      </c>
    </row>
    <row r="4" spans="1:4" x14ac:dyDescent="0.25">
      <c r="A4" t="s">
        <v>271</v>
      </c>
      <c r="B4" t="s">
        <v>272</v>
      </c>
      <c r="C4" s="3">
        <f>LEN(ProvTypeRef[[#This Row],[Description (50)]])</f>
        <v>21</v>
      </c>
      <c r="D4" s="3">
        <v>20</v>
      </c>
    </row>
    <row r="5" spans="1:4" x14ac:dyDescent="0.25">
      <c r="A5" t="s">
        <v>269</v>
      </c>
      <c r="B5" t="s">
        <v>270</v>
      </c>
      <c r="C5" s="3">
        <f>LEN(ProvTypeRef[[#This Row],[Description (50)]])</f>
        <v>9</v>
      </c>
      <c r="D5" s="3">
        <v>20</v>
      </c>
    </row>
    <row r="6" spans="1:4" x14ac:dyDescent="0.25">
      <c r="A6" t="s">
        <v>275</v>
      </c>
      <c r="B6" t="s">
        <v>276</v>
      </c>
      <c r="C6" s="3">
        <f>LEN(ProvTypeRef[[#This Row],[Description (50)]])</f>
        <v>15</v>
      </c>
      <c r="D6" s="3">
        <v>30</v>
      </c>
    </row>
    <row r="7" spans="1:4" x14ac:dyDescent="0.25">
      <c r="A7" t="s">
        <v>277</v>
      </c>
      <c r="B7" t="s">
        <v>278</v>
      </c>
      <c r="C7" s="3">
        <f>LEN(ProvTypeRef[[#This Row],[Description (50)]])</f>
        <v>16</v>
      </c>
      <c r="D7" s="3">
        <v>30</v>
      </c>
    </row>
    <row r="8" spans="1:4" x14ac:dyDescent="0.25">
      <c r="A8" t="s">
        <v>273</v>
      </c>
      <c r="B8" t="s">
        <v>274</v>
      </c>
      <c r="C8" s="3">
        <f>LEN(ProvTypeRef[[#This Row],[Description (50)]])</f>
        <v>8</v>
      </c>
      <c r="D8" s="3">
        <v>30</v>
      </c>
    </row>
    <row r="9" spans="1:4" x14ac:dyDescent="0.25">
      <c r="A9" t="s">
        <v>279</v>
      </c>
      <c r="B9" t="s">
        <v>280</v>
      </c>
      <c r="C9" s="3">
        <f>LEN(ProvTypeRef[[#This Row],[Description (50)]])</f>
        <v>14</v>
      </c>
      <c r="D9" s="3">
        <v>40</v>
      </c>
    </row>
    <row r="10" spans="1:4" x14ac:dyDescent="0.25">
      <c r="A10" t="s">
        <v>263</v>
      </c>
      <c r="B10" t="s">
        <v>264</v>
      </c>
      <c r="C10" s="3">
        <f>LEN(ProvTypeRef[[#This Row],[Description (50)]])</f>
        <v>11</v>
      </c>
      <c r="D10" s="3">
        <v>40</v>
      </c>
    </row>
    <row r="11" spans="1:4" x14ac:dyDescent="0.25">
      <c r="A11" t="s">
        <v>259</v>
      </c>
      <c r="B11" t="s">
        <v>260</v>
      </c>
      <c r="C11" s="3">
        <f>LEN(ProvTypeRef[[#This Row],[Description (50)]])</f>
        <v>8</v>
      </c>
      <c r="D11" s="3">
        <v>40</v>
      </c>
    </row>
    <row r="12" spans="1:4" x14ac:dyDescent="0.25">
      <c r="A12" t="s">
        <v>261</v>
      </c>
      <c r="B12" t="s">
        <v>262</v>
      </c>
      <c r="C12" s="3">
        <f>LEN(ProvTypeRef[[#This Row],[Description (50)]])</f>
        <v>8</v>
      </c>
      <c r="D12" s="3">
        <v>50</v>
      </c>
    </row>
  </sheetData>
  <sheetProtection algorithmName="SHA-512" hashValue="tpVviEITFVJ7EQcLAFYfiAWodkXrQ/vKYu9XfQWILYFckogW0iI5i2s25iDHH5HXPervtgGykpvwuHvucpdfIQ==" saltValue="H+VxbXWE8JgQMUS/Pw3SfA==" spinCount="100000" sheet="1" objects="1" scenarios="1"/>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4"/>
  <sheetViews>
    <sheetView workbookViewId="0">
      <pane ySplit="1" topLeftCell="A2" activePane="bottomLeft" state="frozen"/>
      <selection pane="bottomLeft" activeCell="A2" sqref="A2"/>
    </sheetView>
  </sheetViews>
  <sheetFormatPr defaultRowHeight="15" x14ac:dyDescent="0.25"/>
  <cols>
    <col min="1" max="1" width="13.7109375" customWidth="1"/>
    <col min="2" max="2" width="25.7109375" customWidth="1"/>
    <col min="3" max="3" width="13.7109375" style="3" customWidth="1"/>
  </cols>
  <sheetData>
    <row r="1" spans="1:3" x14ac:dyDescent="0.25">
      <c r="A1" t="s">
        <v>289</v>
      </c>
      <c r="B1" t="s">
        <v>282</v>
      </c>
      <c r="C1" s="3" t="s">
        <v>258</v>
      </c>
    </row>
    <row r="2" spans="1:3" x14ac:dyDescent="0.25">
      <c r="A2" t="s">
        <v>284</v>
      </c>
      <c r="B2" t="s">
        <v>3</v>
      </c>
      <c r="C2" s="3">
        <v>20</v>
      </c>
    </row>
    <row r="3" spans="1:3" x14ac:dyDescent="0.25">
      <c r="A3" t="s">
        <v>285</v>
      </c>
      <c r="B3" t="s">
        <v>286</v>
      </c>
      <c r="C3" s="3">
        <v>50</v>
      </c>
    </row>
    <row r="4" spans="1:3" x14ac:dyDescent="0.25">
      <c r="A4" t="s">
        <v>287</v>
      </c>
      <c r="B4" t="s">
        <v>288</v>
      </c>
      <c r="C4" s="3">
        <v>60</v>
      </c>
    </row>
  </sheetData>
  <sheetProtection algorithmName="SHA-512" hashValue="l8hf/bMumJ7BpHdlEsYLgqm9Pwz6MIgxE7qUpK5oNzO1HiSmj7l8mobayUERPhx6nIjpu6EpCOwT9CUEFiiyRw==" saltValue="OKDCQ86rUmlWCilS8Pb+7Q==" spinCount="100000" sheet="1" objects="1" scenarios="1"/>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5"/>
  <sheetViews>
    <sheetView workbookViewId="0">
      <pane ySplit="1" topLeftCell="A2" activePane="bottomLeft" state="frozen"/>
      <selection pane="bottomLeft" activeCell="A2" sqref="A2"/>
    </sheetView>
  </sheetViews>
  <sheetFormatPr defaultRowHeight="15" x14ac:dyDescent="0.25"/>
  <cols>
    <col min="1" max="1" width="30.7109375" customWidth="1"/>
  </cols>
  <sheetData>
    <row r="1" spans="1:1" x14ac:dyDescent="0.25">
      <c r="A1" t="s">
        <v>4</v>
      </c>
    </row>
    <row r="2" spans="1:1" x14ac:dyDescent="0.25">
      <c r="A2" t="s">
        <v>290</v>
      </c>
    </row>
    <row r="3" spans="1:1" x14ac:dyDescent="0.25">
      <c r="A3" t="s">
        <v>291</v>
      </c>
    </row>
    <row r="4" spans="1:1" x14ac:dyDescent="0.25">
      <c r="A4" t="s">
        <v>292</v>
      </c>
    </row>
    <row r="5" spans="1:1" x14ac:dyDescent="0.25">
      <c r="A5" t="s">
        <v>293</v>
      </c>
    </row>
  </sheetData>
  <sheetProtection algorithmName="SHA-512" hashValue="KYL0j9G4CutHhn5u4f6z9fm2it/pf88USL74wM+/Ynh2MeLHLIyiBgtPIRGksHe0xIhCB/YdJIUHwiKHC+g4wA==" saltValue="EhnWVAiR0LIFJ0eO+mP1TA==" spinCount="100000" sheet="1" objects="1" scenarios="1"/>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2"/>
  <sheetViews>
    <sheetView workbookViewId="0">
      <pane ySplit="1" topLeftCell="A2" activePane="bottomLeft" state="frozen"/>
      <selection pane="bottomLeft" activeCell="A2" sqref="A2"/>
    </sheetView>
  </sheetViews>
  <sheetFormatPr defaultRowHeight="15" x14ac:dyDescent="0.25"/>
  <cols>
    <col min="1" max="1" width="27.28515625" customWidth="1"/>
    <col min="2" max="2" width="10.85546875" style="3" customWidth="1"/>
  </cols>
  <sheetData>
    <row r="1" spans="1:2" x14ac:dyDescent="0.25">
      <c r="A1" t="s">
        <v>294</v>
      </c>
      <c r="B1" s="3" t="s">
        <v>258</v>
      </c>
    </row>
    <row r="2" spans="1:2" x14ac:dyDescent="0.25">
      <c r="A2" t="s">
        <v>266</v>
      </c>
      <c r="B2" s="3">
        <v>110</v>
      </c>
    </row>
    <row r="3" spans="1:2" x14ac:dyDescent="0.25">
      <c r="A3" t="s">
        <v>268</v>
      </c>
      <c r="B3" s="3">
        <v>110</v>
      </c>
    </row>
    <row r="4" spans="1:2" x14ac:dyDescent="0.25">
      <c r="A4" t="s">
        <v>272</v>
      </c>
      <c r="B4" s="3">
        <v>120</v>
      </c>
    </row>
    <row r="5" spans="1:2" x14ac:dyDescent="0.25">
      <c r="A5" t="s">
        <v>270</v>
      </c>
      <c r="B5" s="3">
        <v>120</v>
      </c>
    </row>
    <row r="6" spans="1:2" x14ac:dyDescent="0.25">
      <c r="A6" t="s">
        <v>276</v>
      </c>
      <c r="B6" s="3">
        <v>130</v>
      </c>
    </row>
    <row r="7" spans="1:2" x14ac:dyDescent="0.25">
      <c r="A7" t="s">
        <v>278</v>
      </c>
      <c r="B7" s="3">
        <v>130</v>
      </c>
    </row>
    <row r="8" spans="1:2" x14ac:dyDescent="0.25">
      <c r="A8" t="s">
        <v>274</v>
      </c>
      <c r="B8" s="3">
        <v>130</v>
      </c>
    </row>
    <row r="9" spans="1:2" x14ac:dyDescent="0.25">
      <c r="A9" t="s">
        <v>280</v>
      </c>
      <c r="B9" s="3">
        <v>140</v>
      </c>
    </row>
    <row r="10" spans="1:2" x14ac:dyDescent="0.25">
      <c r="A10" t="s">
        <v>264</v>
      </c>
      <c r="B10" s="3">
        <v>140</v>
      </c>
    </row>
    <row r="11" spans="1:2" x14ac:dyDescent="0.25">
      <c r="A11" t="s">
        <v>260</v>
      </c>
      <c r="B11" s="3">
        <v>140</v>
      </c>
    </row>
    <row r="12" spans="1:2" x14ac:dyDescent="0.25">
      <c r="A12" t="s">
        <v>262</v>
      </c>
      <c r="B12" s="3">
        <v>150</v>
      </c>
    </row>
  </sheetData>
  <sheetProtection algorithmName="SHA-512" hashValue="Kviws1k7oBVHdVZf1IMwEFKLV4ry+SVoSUm5u1bMzqVxs3aFyUOtHZZSuSG+R6OhJkYS+iVNHhagn4zTC41I2A==" saltValue="4jXP2rQktVMWfwqJa5/cbA==" spinCount="100000" sheet="1" objects="1" scenarios="1"/>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
  <sheetViews>
    <sheetView workbookViewId="0">
      <pane ySplit="1" topLeftCell="A2" activePane="bottomLeft" state="frozen"/>
      <selection pane="bottomLeft" activeCell="A2" sqref="A2"/>
    </sheetView>
  </sheetViews>
  <sheetFormatPr defaultRowHeight="15" x14ac:dyDescent="0.25"/>
  <cols>
    <col min="1" max="1" width="21.5703125" customWidth="1"/>
  </cols>
  <sheetData>
    <row r="1" spans="1:1" x14ac:dyDescent="0.25">
      <c r="A1" s="1" t="s">
        <v>257</v>
      </c>
    </row>
    <row r="2" spans="1:1" x14ac:dyDescent="0.25">
      <c r="A2" t="s">
        <v>295</v>
      </c>
    </row>
    <row r="3" spans="1:1" x14ac:dyDescent="0.25">
      <c r="A3" t="s">
        <v>455</v>
      </c>
    </row>
    <row r="4" spans="1:1" x14ac:dyDescent="0.25">
      <c r="A4" t="s">
        <v>456</v>
      </c>
    </row>
  </sheetData>
  <sheetProtection algorithmName="SHA-512" hashValue="pA1Bil0Dez3e4qYvhp73XQtyuDSdjyE3VoAfdrR2Ant3AS6vPqJLionMvs2m+2mC4YARAfqDcI3nMCO/sJPeiw==" saltValue="q451K+Ocak0RO+yyteMXgg==" spinCount="100000" sheet="1" objects="1" scenarios="1"/>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43"/>
  <sheetViews>
    <sheetView workbookViewId="0">
      <pane ySplit="1" topLeftCell="A2" activePane="bottomLeft" state="frozen"/>
      <selection pane="bottomLeft" activeCell="A2" sqref="A2:C2"/>
    </sheetView>
  </sheetViews>
  <sheetFormatPr defaultRowHeight="15" x14ac:dyDescent="0.25"/>
  <cols>
    <col min="1" max="1" width="19.42578125" bestFit="1" customWidth="1"/>
    <col min="2" max="2" width="36" bestFit="1" customWidth="1"/>
    <col min="3" max="3" width="36.7109375" customWidth="1"/>
  </cols>
  <sheetData>
    <row r="1" spans="1:5" x14ac:dyDescent="0.25">
      <c r="A1" t="s">
        <v>257</v>
      </c>
      <c r="B1" t="s">
        <v>4</v>
      </c>
      <c r="C1" t="s">
        <v>366</v>
      </c>
    </row>
    <row r="2" spans="1:5" x14ac:dyDescent="0.25">
      <c r="A2">
        <v>106000</v>
      </c>
      <c r="B2" t="s">
        <v>264</v>
      </c>
      <c r="C2" t="str">
        <f>GLAccountRef[[#This Row],[Code]]&amp;": "&amp;GLAccountRef[[#This Row],[Description]]</f>
        <v>106000: Investments</v>
      </c>
      <c r="E2">
        <f>COUNTIF(GLAccountRef[CodeDescr],GLAccountRef[[#This Row],[CodeDescr]])</f>
        <v>1</v>
      </c>
    </row>
    <row r="3" spans="1:5" x14ac:dyDescent="0.25">
      <c r="A3">
        <v>117000</v>
      </c>
      <c r="B3" t="s">
        <v>358</v>
      </c>
      <c r="C3" t="str">
        <f>GLAccountRef[[#This Row],[Code]]&amp;": "&amp;GLAccountRef[[#This Row],[Description]]</f>
        <v>117000: Leases Receivable</v>
      </c>
    </row>
    <row r="4" spans="1:5" x14ac:dyDescent="0.25">
      <c r="A4">
        <v>170000</v>
      </c>
      <c r="B4" t="s">
        <v>329</v>
      </c>
      <c r="C4" t="str">
        <f>GLAccountRef[[#This Row],[Code]]&amp;": "&amp;GLAccountRef[[#This Row],[Description]]</f>
        <v>170000: Fixed Assets</v>
      </c>
    </row>
    <row r="5" spans="1:5" x14ac:dyDescent="0.25">
      <c r="A5">
        <v>170100</v>
      </c>
      <c r="B5" t="s">
        <v>330</v>
      </c>
      <c r="C5" t="str">
        <f>GLAccountRef[[#This Row],[Code]]&amp;": "&amp;GLAccountRef[[#This Row],[Description]]</f>
        <v>170100: Accumulated Depreciation</v>
      </c>
    </row>
    <row r="6" spans="1:5" x14ac:dyDescent="0.25">
      <c r="A6">
        <v>170150</v>
      </c>
      <c r="B6" t="s">
        <v>266</v>
      </c>
      <c r="C6" t="str">
        <f>GLAccountRef[[#This Row],[Code]]&amp;": "&amp;GLAccountRef[[#This Row],[Description]]</f>
        <v>170150: Land</v>
      </c>
    </row>
    <row r="7" spans="1:5" x14ac:dyDescent="0.25">
      <c r="A7">
        <v>170200</v>
      </c>
      <c r="B7" t="s">
        <v>268</v>
      </c>
      <c r="C7" t="str">
        <f>GLAccountRef[[#This Row],[Code]]&amp;": "&amp;GLAccountRef[[#This Row],[Description]]</f>
        <v>170200: Land Improvements</v>
      </c>
    </row>
    <row r="8" spans="1:5" x14ac:dyDescent="0.25">
      <c r="A8">
        <v>170300</v>
      </c>
      <c r="B8" t="s">
        <v>331</v>
      </c>
      <c r="C8" t="str">
        <f>GLAccountRef[[#This Row],[Code]]&amp;": "&amp;GLAccountRef[[#This Row],[Description]]</f>
        <v>170300: Buildings and Improvements</v>
      </c>
    </row>
    <row r="9" spans="1:5" x14ac:dyDescent="0.25">
      <c r="A9">
        <v>170400</v>
      </c>
      <c r="B9" t="s">
        <v>332</v>
      </c>
      <c r="C9" t="str">
        <f>GLAccountRef[[#This Row],[Code]]&amp;": "&amp;GLAccountRef[[#This Row],[Description]]</f>
        <v>170400: Machinery and Equipment</v>
      </c>
    </row>
    <row r="10" spans="1:5" x14ac:dyDescent="0.25">
      <c r="A10">
        <v>170500</v>
      </c>
      <c r="B10" t="s">
        <v>280</v>
      </c>
      <c r="C10" t="str">
        <f>GLAccountRef[[#This Row],[Code]]&amp;": "&amp;GLAccountRef[[#This Row],[Description]]</f>
        <v>170500: Infrastructure</v>
      </c>
    </row>
    <row r="11" spans="1:5" x14ac:dyDescent="0.25">
      <c r="A11">
        <v>170600</v>
      </c>
      <c r="B11" t="s">
        <v>341</v>
      </c>
      <c r="C11" t="str">
        <f>GLAccountRef[[#This Row],[Code]]&amp;": "&amp;GLAccountRef[[#This Row],[Description]]</f>
        <v>170600: Art and Artifacts</v>
      </c>
    </row>
    <row r="12" spans="1:5" x14ac:dyDescent="0.25">
      <c r="A12">
        <v>170800</v>
      </c>
      <c r="B12" t="s">
        <v>334</v>
      </c>
      <c r="C12" t="str">
        <f>GLAccountRef[[#This Row],[Code]]&amp;": "&amp;GLAccountRef[[#This Row],[Description]]</f>
        <v>170800: Leased Equipment</v>
      </c>
    </row>
    <row r="13" spans="1:5" x14ac:dyDescent="0.25">
      <c r="A13">
        <v>170900</v>
      </c>
      <c r="B13" t="s">
        <v>333</v>
      </c>
      <c r="C13" t="str">
        <f>GLAccountRef[[#This Row],[Code]]&amp;": "&amp;GLAccountRef[[#This Row],[Description]]</f>
        <v>170900: Leased Building</v>
      </c>
    </row>
    <row r="14" spans="1:5" x14ac:dyDescent="0.25">
      <c r="A14">
        <v>171200</v>
      </c>
      <c r="B14" t="s">
        <v>335</v>
      </c>
      <c r="C14" t="str">
        <f>GLAccountRef[[#This Row],[Code]]&amp;": "&amp;GLAccountRef[[#This Row],[Description]]</f>
        <v>171200: AD - Land Improvements</v>
      </c>
    </row>
    <row r="15" spans="1:5" x14ac:dyDescent="0.25">
      <c r="A15">
        <v>171300</v>
      </c>
      <c r="B15" t="s">
        <v>336</v>
      </c>
      <c r="C15" t="str">
        <f>GLAccountRef[[#This Row],[Code]]&amp;": "&amp;GLAccountRef[[#This Row],[Description]]</f>
        <v>171300: AD - Building and Improvements</v>
      </c>
    </row>
    <row r="16" spans="1:5" x14ac:dyDescent="0.25">
      <c r="A16">
        <v>171400</v>
      </c>
      <c r="B16" t="s">
        <v>337</v>
      </c>
      <c r="C16" t="str">
        <f>GLAccountRef[[#This Row],[Code]]&amp;": "&amp;GLAccountRef[[#This Row],[Description]]</f>
        <v>171400: AD - Machinery and Equipment</v>
      </c>
    </row>
    <row r="17" spans="1:3" x14ac:dyDescent="0.25">
      <c r="A17">
        <v>171500</v>
      </c>
      <c r="B17" t="s">
        <v>338</v>
      </c>
      <c r="C17" t="str">
        <f>GLAccountRef[[#This Row],[Code]]&amp;": "&amp;GLAccountRef[[#This Row],[Description]]</f>
        <v>171500: AD - Infrastructure</v>
      </c>
    </row>
    <row r="18" spans="1:3" x14ac:dyDescent="0.25">
      <c r="A18">
        <v>171800</v>
      </c>
      <c r="B18" t="s">
        <v>339</v>
      </c>
      <c r="C18" t="str">
        <f>GLAccountRef[[#This Row],[Code]]&amp;": "&amp;GLAccountRef[[#This Row],[Description]]</f>
        <v>171800: AD - Leased Equipment</v>
      </c>
    </row>
    <row r="19" spans="1:3" x14ac:dyDescent="0.25">
      <c r="A19">
        <v>171900</v>
      </c>
      <c r="B19" t="s">
        <v>340</v>
      </c>
      <c r="C19" t="str">
        <f>GLAccountRef[[#This Row],[Code]]&amp;": "&amp;GLAccountRef[[#This Row],[Description]]</f>
        <v>171900: AD - Leased Buildings</v>
      </c>
    </row>
    <row r="20" spans="1:3" x14ac:dyDescent="0.25">
      <c r="A20">
        <v>187000</v>
      </c>
      <c r="B20" t="s">
        <v>359</v>
      </c>
      <c r="C20" t="str">
        <f>GLAccountRef[[#This Row],[Code]]&amp;": "&amp;GLAccountRef[[#This Row],[Description]]</f>
        <v>187000: L-T Leases Receivable</v>
      </c>
    </row>
    <row r="21" spans="1:3" x14ac:dyDescent="0.25">
      <c r="A21">
        <v>262000</v>
      </c>
      <c r="B21" t="s">
        <v>342</v>
      </c>
      <c r="C21" t="str">
        <f>GLAccountRef[[#This Row],[Code]]&amp;": "&amp;GLAccountRef[[#This Row],[Description]]</f>
        <v>262000: Capital Lease Liability</v>
      </c>
    </row>
    <row r="22" spans="1:3" x14ac:dyDescent="0.25">
      <c r="A22">
        <v>285800</v>
      </c>
      <c r="B22" t="s">
        <v>326</v>
      </c>
      <c r="C22" t="str">
        <f>GLAccountRef[[#This Row],[Code]]&amp;": "&amp;GLAccountRef[[#This Row],[Description]]</f>
        <v>285800: LT Capital Lease Liability</v>
      </c>
    </row>
    <row r="23" spans="1:3" x14ac:dyDescent="0.25">
      <c r="A23">
        <v>440000</v>
      </c>
      <c r="B23" t="s">
        <v>364</v>
      </c>
      <c r="C23" t="str">
        <f>GLAccountRef[[#This Row],[Code]]&amp;": "&amp;GLAccountRef[[#This Row],[Description]]</f>
        <v>440000: Interest Income - Leases</v>
      </c>
    </row>
    <row r="24" spans="1:3" x14ac:dyDescent="0.25">
      <c r="A24">
        <v>480000</v>
      </c>
      <c r="B24" t="s">
        <v>327</v>
      </c>
      <c r="C24" t="str">
        <f>GLAccountRef[[#This Row],[Code]]&amp;": "&amp;GLAccountRef[[#This Row],[Description]]</f>
        <v>480000: Other Income</v>
      </c>
    </row>
    <row r="25" spans="1:3" x14ac:dyDescent="0.25">
      <c r="A25">
        <v>531600</v>
      </c>
      <c r="B25" t="s">
        <v>328</v>
      </c>
      <c r="C25" t="str">
        <f>GLAccountRef[[#This Row],[Code]]&amp;": "&amp;GLAccountRef[[#This Row],[Description]]</f>
        <v>531600: Miscellaneous Expense</v>
      </c>
    </row>
    <row r="26" spans="1:3" x14ac:dyDescent="0.25">
      <c r="A26">
        <v>532110</v>
      </c>
      <c r="B26" t="s">
        <v>356</v>
      </c>
      <c r="C26" t="str">
        <f>GLAccountRef[[#This Row],[Code]]&amp;": "&amp;GLAccountRef[[#This Row],[Description]]</f>
        <v>532110: Rent of Office Space</v>
      </c>
    </row>
    <row r="27" spans="1:3" x14ac:dyDescent="0.25">
      <c r="A27">
        <v>532120</v>
      </c>
      <c r="B27" t="s">
        <v>343</v>
      </c>
      <c r="C27" t="str">
        <f>GLAccountRef[[#This Row],[Code]]&amp;": "&amp;GLAccountRef[[#This Row],[Description]]</f>
        <v>532120: Rent of Land</v>
      </c>
    </row>
    <row r="28" spans="1:3" x14ac:dyDescent="0.25">
      <c r="A28">
        <v>532130</v>
      </c>
      <c r="B28" t="s">
        <v>344</v>
      </c>
      <c r="C28" t="str">
        <f>GLAccountRef[[#This Row],[Code]]&amp;": "&amp;GLAccountRef[[#This Row],[Description]]</f>
        <v>532130: Rent of Other Building Space</v>
      </c>
    </row>
    <row r="29" spans="1:3" x14ac:dyDescent="0.25">
      <c r="A29">
        <v>532140</v>
      </c>
      <c r="B29" t="s">
        <v>345</v>
      </c>
      <c r="C29" t="str">
        <f>GLAccountRef[[#This Row],[Code]]&amp;": "&amp;GLAccountRef[[#This Row],[Description]]</f>
        <v>532140: Rent Equipment and Machinery</v>
      </c>
    </row>
    <row r="30" spans="1:3" x14ac:dyDescent="0.25">
      <c r="A30">
        <v>532141</v>
      </c>
      <c r="B30" t="s">
        <v>346</v>
      </c>
      <c r="C30" t="str">
        <f>GLAccountRef[[#This Row],[Code]]&amp;": "&amp;GLAccountRef[[#This Row],[Description]]</f>
        <v>532141: Rent of Motor Vehicles</v>
      </c>
    </row>
    <row r="31" spans="1:3" x14ac:dyDescent="0.25">
      <c r="A31">
        <v>532142</v>
      </c>
      <c r="B31" t="s">
        <v>347</v>
      </c>
      <c r="C31" t="str">
        <f>GLAccountRef[[#This Row],[Code]]&amp;": "&amp;GLAccountRef[[#This Row],[Description]]</f>
        <v>532142: Lease of Motor Vehicles</v>
      </c>
    </row>
    <row r="32" spans="1:3" x14ac:dyDescent="0.25">
      <c r="A32">
        <v>532150</v>
      </c>
      <c r="B32" t="s">
        <v>348</v>
      </c>
      <c r="C32" t="str">
        <f>GLAccountRef[[#This Row],[Code]]&amp;": "&amp;GLAccountRef[[#This Row],[Description]]</f>
        <v>532150: Rent Telecommunications Equip</v>
      </c>
    </row>
    <row r="33" spans="1:3" x14ac:dyDescent="0.25">
      <c r="A33">
        <v>532160</v>
      </c>
      <c r="B33" t="s">
        <v>349</v>
      </c>
      <c r="C33" t="str">
        <f>GLAccountRef[[#This Row],[Code]]&amp;": "&amp;GLAccountRef[[#This Row],[Description]]</f>
        <v>532160: Rent Elec Data Processing Equip</v>
      </c>
    </row>
    <row r="34" spans="1:3" x14ac:dyDescent="0.25">
      <c r="A34">
        <v>532170</v>
      </c>
      <c r="B34" t="s">
        <v>350</v>
      </c>
      <c r="C34" t="str">
        <f>GLAccountRef[[#This Row],[Code]]&amp;": "&amp;GLAccountRef[[#This Row],[Description]]</f>
        <v>532170: Rent Data Processing Software</v>
      </c>
    </row>
    <row r="35" spans="1:3" x14ac:dyDescent="0.25">
      <c r="A35">
        <v>532190</v>
      </c>
      <c r="B35" t="s">
        <v>351</v>
      </c>
      <c r="C35" t="str">
        <f>GLAccountRef[[#This Row],[Code]]&amp;": "&amp;GLAccountRef[[#This Row],[Description]]</f>
        <v>532190: Other Rents</v>
      </c>
    </row>
    <row r="36" spans="1:3" x14ac:dyDescent="0.25">
      <c r="A36">
        <v>543110</v>
      </c>
      <c r="B36" t="s">
        <v>352</v>
      </c>
      <c r="C36" t="str">
        <f>GLAccountRef[[#This Row],[Code]]&amp;": "&amp;GLAccountRef[[#This Row],[Description]]</f>
        <v>543110: Lease Purchase - Furniture, Equip</v>
      </c>
    </row>
    <row r="37" spans="1:3" x14ac:dyDescent="0.25">
      <c r="A37">
        <v>543120</v>
      </c>
      <c r="B37" t="s">
        <v>353</v>
      </c>
      <c r="C37" t="str">
        <f>GLAccountRef[[#This Row],[Code]]&amp;": "&amp;GLAccountRef[[#This Row],[Description]]</f>
        <v>543120: Lease Purchase DP Equipment</v>
      </c>
    </row>
    <row r="38" spans="1:3" x14ac:dyDescent="0.25">
      <c r="A38">
        <v>543130</v>
      </c>
      <c r="B38" t="s">
        <v>354</v>
      </c>
      <c r="C38" t="str">
        <f>GLAccountRef[[#This Row],[Code]]&amp;": "&amp;GLAccountRef[[#This Row],[Description]]</f>
        <v>543130: Lease Purchase Land, Building</v>
      </c>
    </row>
    <row r="39" spans="1:3" x14ac:dyDescent="0.25">
      <c r="A39">
        <v>543140</v>
      </c>
      <c r="B39" t="s">
        <v>357</v>
      </c>
      <c r="C39" t="str">
        <f>GLAccountRef[[#This Row],[Code]]&amp;": "&amp;GLAccountRef[[#This Row],[Description]]</f>
        <v>543140: Lease Purchase-Land, Buildings</v>
      </c>
    </row>
    <row r="40" spans="1:3" x14ac:dyDescent="0.25">
      <c r="A40">
        <v>543150</v>
      </c>
      <c r="B40" t="s">
        <v>355</v>
      </c>
      <c r="C40" t="str">
        <f>GLAccountRef[[#This Row],[Code]]&amp;": "&amp;GLAccountRef[[#This Row],[Description]]</f>
        <v>543150: Lease Purchase Telecomm</v>
      </c>
    </row>
    <row r="41" spans="1:3" x14ac:dyDescent="0.25">
      <c r="A41">
        <v>548120</v>
      </c>
      <c r="B41" t="s">
        <v>365</v>
      </c>
      <c r="C41" t="str">
        <f>GLAccountRef[[#This Row],[Code]]&amp;": "&amp;GLAccountRef[[#This Row],[Description]]</f>
        <v>548120: Interest Expense - Leases</v>
      </c>
    </row>
    <row r="42" spans="1:3" x14ac:dyDescent="0.25">
      <c r="A42" t="s">
        <v>360</v>
      </c>
      <c r="B42" t="s">
        <v>361</v>
      </c>
      <c r="C42" t="str">
        <f>GLAccountRef[[#This Row],[Code]]&amp;": "&amp;GLAccountRef[[#This Row],[Description]]</f>
        <v>DEF LEASE INFLOW : Deferred inflows from Capital Leases</v>
      </c>
    </row>
    <row r="43" spans="1:3" x14ac:dyDescent="0.25">
      <c r="A43" t="s">
        <v>362</v>
      </c>
      <c r="B43" t="s">
        <v>363</v>
      </c>
      <c r="C43" t="str">
        <f>GLAccountRef[[#This Row],[Code]]&amp;": "&amp;GLAccountRef[[#This Row],[Description]]</f>
        <v>DEF LEASE OUTFLOW: Deferred Outflows from Capital Leases</v>
      </c>
    </row>
  </sheetData>
  <sheetProtection algorithmName="SHA-512" hashValue="4vFcZScLaNVv+xQm12SMIR1DK7+yGE6+obRIPgwLO37Oasbjqhf9rnRei1IMzgzHE1cpDOxy2gztkaBw4bSRzQ==" saltValue="+lqtVZjr3tZZu3cdxMifPA==" spinCount="100000" sheet="1" objects="1" scenarios="1"/>
  <sortState xmlns:xlrd2="http://schemas.microsoft.com/office/spreadsheetml/2017/richdata2" ref="A2:B43">
    <sortCondition ref="A1"/>
  </sortState>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5</vt:i4>
      </vt:variant>
    </vt:vector>
  </HeadingPairs>
  <TitlesOfParts>
    <vt:vector size="20" baseType="lpstr">
      <vt:lpstr>Process Flow</vt:lpstr>
      <vt:lpstr>Agency Cover</vt:lpstr>
      <vt:lpstr>Instructions</vt:lpstr>
      <vt:lpstr>Multi-Record Entries</vt:lpstr>
      <vt:lpstr>Base Information</vt:lpstr>
      <vt:lpstr>Excluded Leases</vt:lpstr>
      <vt:lpstr>Examples</vt:lpstr>
      <vt:lpstr>Ref-Entity</vt:lpstr>
      <vt:lpstr>Ref-AgrmtType</vt:lpstr>
      <vt:lpstr>Ref-ProvType</vt:lpstr>
      <vt:lpstr>Ref-Status</vt:lpstr>
      <vt:lpstr>Ref-RptType</vt:lpstr>
      <vt:lpstr>Ref-RptCategory</vt:lpstr>
      <vt:lpstr>Ref-AmortMethod</vt:lpstr>
      <vt:lpstr>Ref_GLAccounts</vt:lpstr>
      <vt:lpstr>AgrmtStatusLU</vt:lpstr>
      <vt:lpstr>AgrmtTypeLU</vt:lpstr>
      <vt:lpstr>GLAccountLU</vt:lpstr>
      <vt:lpstr>ProvTypeLU</vt:lpstr>
      <vt:lpstr>RptCatLU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GASB 87 Template - Lessor</dc:title>
  <dc:subject>Form used to collect data on certain leases made by the state. This form is for the lessor.</dc:subject>
  <dc:creator>OMES CAR</dc:creator>
  <cp:keywords>gasb, 87, template, lessor, oklahoma</cp:keywords>
  <cp:lastModifiedBy>Jennifer LeFlore</cp:lastModifiedBy>
  <dcterms:created xsi:type="dcterms:W3CDTF">2021-03-17T20:41:27Z</dcterms:created>
  <dcterms:modified xsi:type="dcterms:W3CDTF">2023-06-14T19:32:48Z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Language">
    <vt:lpwstr>English</vt:lpwstr>
  </property>
</Properties>
</file>